
<file path=[Content_Types].xml><?xml version="1.0" encoding="utf-8"?>
<Types xmlns="http://schemas.openxmlformats.org/package/2006/content-types">
  <Override ContentType="application/vnd.openxmlformats-officedocument.theme+xml" PartName="/xl/theme/theme1.xml"/>
  <Override ContentType="application/vnd.openxmlformats-officedocument.spreadsheetml.styles+xml" PartName="/xl/styles.xml"/>
  <Default ContentType="application/vnd.openxmlformats-package.relationships+xml" Extension="rels"/>
  <Default ContentType="application/xml" Extension="xml"/>
  <Default ContentType="image/png" Extension="png"/>
  <Default ContentType="application/vnd.openxmlformats-officedocument.vmlDrawing" Extension="vml"/>
  <Override ContentType="application/vnd.openxmlformats-officedocument.spreadsheetml.sheet.main+xml" PartName="/xl/workbook.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PartName="/xl/worksheets/sheet1.xml" ContentType="application/vnd.openxmlformats-officedocument.spreadsheetml.worksheet+xml"/>
</Types>
</file>

<file path=_rels/.rels><ns0:Relationships xmlns:ns0="http://schemas.openxmlformats.org/package/2006/relationships">
  <ns0:Relationship Id="rId1" Target="xl/workbook.xml" Type="http://schemas.openxmlformats.org/officeDocument/2006/relationships/officeDocument"/>
  <ns0:Relationship Id="rId2" Target="docProps/core.xml" Type="http://schemas.openxmlformats.org/package/2006/relationships/metadata/core-properties"/>
  <ns0:Relationship Id="rId3" Target="docProps/app.xml" Type="http://schemas.openxmlformats.org/officeDocument/2006/relationships/extended-properties"/>
</ns0:Relationships>

</file>

<file path=xl/workbook.xml><?xml version="1.0" encoding="utf-8"?>
<s:workbook xmlns:s="http://schemas.openxmlformats.org/spreadsheetml/2006/main">
  <s:fileVersion appName="xl" lastEdited="4" lowestEdited="4" rupBuild="4505"/>
  <s:workbookPr defaultThemeVersion="124226" codeName="ThisWorkbook"/>
  <s:bookViews>
    <s:workbookView activeTab="0" autoFilterDateGrouping="1" firstSheet="0" minimized="0" showHorizontalScroll="1" showSheetTabs="1" showVerticalScroll="1" tabRatio="600" visibility="visible"/>
  </s:bookViews>
  <s:sheets>
    <s:sheet xmlns:r="http://schemas.openxmlformats.org/officeDocument/2006/relationships" name="Sheet" sheetId="1" r:id="rId1"/>
  </s:sheets>
  <s:definedNames>
    <s:definedName name="_xlnm._FilterDatabase" localSheetId="0" hidden="1">'Sheet'!$A$4:$P$887</s:definedName>
  </s:definedNames>
  <s:calcPr calcId="124519" calcMode="auto" fullCalcOnLoad="1"/>
</s:workbook>
</file>

<file path=xl/sharedStrings.xml><?xml version="1.0" encoding="utf-8"?>
<sst xmlns="http://schemas.openxmlformats.org/spreadsheetml/2006/main" uniqueCount="3543">
  <si>
    <t xml:space="preserve">     Код ДК 021:2015-33140000-3 Медичні матеріали (Шприц  3-х компонентний , 2мл., шприц  3-х компонентний, 5мл. шприц  3-х компонентний, 10мл, шприц  3-х компонентний,  20 мл., шприц інсуліновий   1,0 мл., U-100, Луер, зі зйомною голкою 30G (0,30 х 13 мм.), Шприц 3-х компонентний одноразовий стерильний 200 мл Catheter Tip з голкою, 14G (2,0x30), (Код НК 024:2019-47017- шприц загального призначення, разового застосування), канюля внутрішньовенна, розмір   18G,  канюля внутрішньовенна, розмір   22G, канюля внутрішньовенна, розмір   24G, перфузійний пристрій "Метелик", розмір 23G,  
 (Код НК 024:2019- 36257- Катетер венозний центральний, що вводиться периферично), маска киснева для дорослих, маска киснева (для дорослих, з конектором типу «Venturi»), регульований (Код НК 024:2019-12557-Маска для кисневої терапії), рукавички  нітрилові, розмір S, рукавички  нітрилові, розмір M, рукавички  нітрилові, розмір L (код НК 024:2019 – 56286 Рукавички оглядові / процедурні нітрилові, необпудровані, нестерильні), захисний лицьовий щиток (код НК 024:2019 -11961: Захисний екран для обличчя)»
</t>
  </si>
  <si>
    <t xml:space="preserve"> Акумуляторна батарея  CSB 12V 7,2 h</t>
  </si>
  <si>
    <t xml:space="preserve"> Код ДК 021:2015 - 33120000-7 Системи реєстрації медичної інформації та дослідне обладнання (Швидкий тест на антиген COVID-19 (Код НК 024:2019-- Коронавірус (SARS-CoV), антигени IVD, набір, імунохроматографічний, експрес-аналіз))</t>
  </si>
  <si>
    <t xml:space="preserve"> Папір А4/80 пастель,зелений (100 арк.); папір А4/80 зелений паст.(100 арк.) SPECTRA COLOR</t>
  </si>
  <si>
    <t xml:space="preserve"> Послуги з охорони об’єктів </t>
  </si>
  <si>
    <t xml:space="preserve">(видалене);  Аміназин р-н д/ін. 25 мг/мл амп. 2 мл, у блістері в коробці №10 ;  АНАЛЬГІН-ДАРНИЦЯ р-н д/ін. 500 мг/мл амп. 2 мл, контурн. чарунк. yп., пачка №10 ; Аспаркам р-н д/ін. амп. 10 мл, блістер у пачці №10 ; Бетадин р-н д/зовн. та місц. застос. 10 % фл. з крапельн. 120 мл №1; Бісопрол табл. 5 мг блістер №50 ;  ВЕРАПАМІЛ-ДАРНИЦЯ р-н д/ін. 2,5 мг/мл амп. 2 мл, контурн. чарунк. yп., пачка №10 ; Верошпірон капс. 50мг №30;  АСКОРБІНОВА КИСЛОТА-ДАРНИЦЯ р-н д/ін. 100 мг/мл амп. 2 мл, контурн. чарунк. yп., пачка №10 ;  ТІАМІНУ ХЛОРИД-ДАРНИЦЯ (ВІТАМІН В1-ДАРНИЦЯ) р-н д/ін. 50 мг/мл амп. 1 мл, контурн. чарунк. yп., пачка №10 ;  ПІРИДОКСИН-ДАРНИЦЯ (ВІТАМІН В6-ДАРНИЦЯ) р-н д/ін. 50 мг/мл амп. 1 мл, контурн. чарунк. уп. №10 ;  ГІДАЗЕПАМ ІС  табл. 0,02 г блістер №20 ;  ДИКЛОФЕНАК-ДАРНИЦЯ р-н д/ін. 25 мг/мл амп. 3 мл, контурн. чарунк. yп., пачка №10 ;  Алмірал р-н д/ін. 75 мг амп. 3 мл №5 ;  ДИБАЗОЛ-ДАРНИЦЯ р-н д/ін. 10 мг/мл амп. 5 мл, контурн. чарунк. yп., пачка №10 ; Дигоксин р-н д/ін. 0,25 мг/мл амп. 1 мл, в пачці №10 ;  ДИМЕДРОЛ-ДАРНИЦЯ р-н д/ін. 10 мг/мл амп. 1 мл, контурн. чарунк. yп., пачка №10 ; ЕНТЕРОЛ 250 пор. орал. пак. 250мг №10;  ЕУФІЛІН-ДАРНИЦЯ р-н д/ін. 20 мг/мл амп. 5 мл №10 ; Йод р-н спирт. д/зовн. застос. 5 % фл. 10 мл №1; Мезатон р-н д/ін. 10 мг/мл амп. 1 мл, блістер у пачці №10 ; МІКРОЛАКС р-н рект. туба 5мл №4;  ДРОТАВЕРИН-ДАРНИЦЯ р-н д/ін. 20 мг/мл амп. 2 мл, контурн. чарунк. yп., пачка №5 ;  Ніфуроксазид табл. в/о 0,1 г блістер №30 ;  НОВОКАЇН-ДАРНИЦЯ р-н д/ін. 5 мг/мл амп. 2 мл, контурн. чарунк. yп., пачка №10 ; Супрастин р-н д/ін. 20 мг амп. 1 мл №5 ; ПАНГАСТРО табл. гастрорезист. 40мг №28;  ПЛАТИФІЛІН-ДАРНИЦЯ р-н д/ін. 2 мг/мл амп. 1 мл, контурн. чарунк. yп., пачка №10 ;  ПЕРЕКИС ВОДНЮ р-н д/зовн. застос. 3 % фл. 100 мл №1;  РИБОКСИН-ДАРНИЦЯ р-н д/ін. 20 мг/мл амп. 5 мл №10 ;  СТЕРОФУНДИН ISO р-н д/інф. контейнер 500 мл №10 ; (видалене);  Т-ТРІОМАКС р-н д/ін. 25 мг/мл амп. 4 мл, контурн. чарунк. уп. №10 ; УЛЬТРАКАЇН® Д-С амп. 2мл №100; Діоксидин р-н 10 мг/мл амп. 10 мл, в пачці №10 ;  РИЦИНОВА ОЛІЯ олія 100 г фл. №1; СПАЗМАЛГОН р-н д/ін. амп. 5мл №10; Новокаїн  р-н д/ін. 2,5 мг/мл пляшка 200 мл №1;  НІСТАТИН-ЗДОРОВ'Я табл. в/о 500000 ОД блістер, у коробці №20 ;  Регідрон пор. дозов. пакет 18,9 г №20 ; Фармасулін® H р-н д/ін. 100 МО/мл фл. 10 мл №1; Корвалмент капс. м'які 0,1 г блістер №30 </t>
  </si>
  <si>
    <t>0011/146/21</t>
  </si>
  <si>
    <t>001104/761/21</t>
  </si>
  <si>
    <t>00131587</t>
  </si>
  <si>
    <t>0017/310/21</t>
  </si>
  <si>
    <t>00220061</t>
  </si>
  <si>
    <t>0023/428/21</t>
  </si>
  <si>
    <t>0024/448/21</t>
  </si>
  <si>
    <t>0026/573/21</t>
  </si>
  <si>
    <t>0047/635/21</t>
  </si>
  <si>
    <t>0064/866/21</t>
  </si>
  <si>
    <t>006f527074e14d9096f3a4faf1fca943</t>
  </si>
  <si>
    <t>0078/867/21</t>
  </si>
  <si>
    <t>0095d0af0f064981ae5feb1d394b7266</t>
  </si>
  <si>
    <t>00f2f798842c4cf0b65ef6578e149436</t>
  </si>
  <si>
    <t>01/04/2021/368/21</t>
  </si>
  <si>
    <t>01/04/437/21</t>
  </si>
  <si>
    <t>01/06/2021/603/21</t>
  </si>
  <si>
    <t>01/15/145/21</t>
  </si>
  <si>
    <t>01/16/406/21</t>
  </si>
  <si>
    <t>01/20/664/21</t>
  </si>
  <si>
    <t>01698ff635bc4a7ca418be22295fc3cf</t>
  </si>
  <si>
    <t>01896872</t>
  </si>
  <si>
    <t>019/21/НВ/5/21</t>
  </si>
  <si>
    <t>01996711</t>
  </si>
  <si>
    <t>01cd3dab55c74081a36fa3a36585478b</t>
  </si>
  <si>
    <t>01e54ee96c5c4d1ab7874a5ecbd11e19</t>
  </si>
  <si>
    <t>02-04/21/397/21</t>
  </si>
  <si>
    <t>02/04/2021/359/21</t>
  </si>
  <si>
    <t>02/04/439/21</t>
  </si>
  <si>
    <t>02/06/2021/604/21</t>
  </si>
  <si>
    <t>02010793</t>
  </si>
  <si>
    <t>021a942d430a458bb2ae6ed725c2be01</t>
  </si>
  <si>
    <t>021d714d03924dab98db4f85f1a18595</t>
  </si>
  <si>
    <t>0222206dd0ff4f49815c231f25034678</t>
  </si>
  <si>
    <t>02568319</t>
  </si>
  <si>
    <t>02655a0007794577818e9cffde336ba9</t>
  </si>
  <si>
    <t>02a7a90d55764a81b1c66c3b66afd464</t>
  </si>
  <si>
    <t>02effc50e5794779892ff61558ab7c91</t>
  </si>
  <si>
    <t>02f68864b83f40f3a7cabdcd75231a2e</t>
  </si>
  <si>
    <t>03/04/2021/370/21</t>
  </si>
  <si>
    <t>03/06/2021/605/21</t>
  </si>
  <si>
    <t>03120000-8 Продукція рослинництва, у тому числі тепличного</t>
  </si>
  <si>
    <t>03142500-3 Яйця</t>
  </si>
  <si>
    <t>0317-1/248/21</t>
  </si>
  <si>
    <t>03200000-3 Зернові культури, картопля, овочі, фрукти та горіхи</t>
  </si>
  <si>
    <t>03220000-9 Овочі, фрукти та горіхи</t>
  </si>
  <si>
    <t>03348910</t>
  </si>
  <si>
    <t>03348933</t>
  </si>
  <si>
    <t>03349039</t>
  </si>
  <si>
    <t>03450000-9 Розсадницька продукція</t>
  </si>
  <si>
    <t>036adc970c304408b45b0d57b2824330</t>
  </si>
  <si>
    <t>03ba57d372d8419fabc967ece92bacca</t>
  </si>
  <si>
    <t>03dd81f51ff24610b994d55024d01804</t>
  </si>
  <si>
    <t>03f11138e89e4e3bb415b0f00a6a32c5</t>
  </si>
  <si>
    <t>04-14/153/638/21</t>
  </si>
  <si>
    <t>04/04/2021/386/21</t>
  </si>
  <si>
    <t>04/06/2021/606/21</t>
  </si>
  <si>
    <t>040413-0121ТШК01/6/21</t>
  </si>
  <si>
    <t>04725912</t>
  </si>
  <si>
    <t>04b13fcffbcc4779bc1864b4593233df</t>
  </si>
  <si>
    <t>04c0a96440044389a53ea53f5ad8bf99</t>
  </si>
  <si>
    <t>04ed4e3dda824d679ee61ea22750117a</t>
  </si>
  <si>
    <t>05/04/2021/371/21</t>
  </si>
  <si>
    <t>05/06/2021/607/21</t>
  </si>
  <si>
    <t>05/21/571/21</t>
  </si>
  <si>
    <t>0505e594f81042aa8219688de49c7898</t>
  </si>
  <si>
    <t>050655193e8d4a2a91b2ae1125cc1e26</t>
  </si>
  <si>
    <t>050df89c69894676ad70b9aa6858779f</t>
  </si>
  <si>
    <t>05761873</t>
  </si>
  <si>
    <t>0591e7caaee6459cb05535415b812f83</t>
  </si>
  <si>
    <t>05b944d9a6bd43cca8576c81dc22fcdb</t>
  </si>
  <si>
    <t>05dbc3e3426247659ebcd5f976e6acb7</t>
  </si>
  <si>
    <t>05fbc9d3b0e047119fa80eb8246ffb8e</t>
  </si>
  <si>
    <t>06/04/2021/372/21</t>
  </si>
  <si>
    <t>06/06/2021/608/21</t>
  </si>
  <si>
    <t>06108dcd388f43b28f71139e0c7939b7</t>
  </si>
  <si>
    <t>06143f37eddf4d09bd47a3fd0cd86cb5</t>
  </si>
  <si>
    <t>0665fe1d44a941638f9a9f0bbc6d48ed</t>
  </si>
  <si>
    <t>07/04/2021/462/21</t>
  </si>
  <si>
    <t>07/06/2021/609/21</t>
  </si>
  <si>
    <t>07657208ddf34bb09e82d8811cb0e857</t>
  </si>
  <si>
    <t>078e612b7ffe4d998f393c1e41a1e535</t>
  </si>
  <si>
    <t>079/21НВ/47/21</t>
  </si>
  <si>
    <t>07ab0ed4981a49f4b783dbbc03cb6758</t>
  </si>
  <si>
    <t>07c23662dc7e4e8080e56e4bc77af5d4</t>
  </si>
  <si>
    <t>08/04/2021/373/21</t>
  </si>
  <si>
    <t>08/06/2021/610/21</t>
  </si>
  <si>
    <t>087354eec231425788194b8cb0c666ef</t>
  </si>
  <si>
    <t>09/04/2021/374/21</t>
  </si>
  <si>
    <t>09/06/2021/611/21</t>
  </si>
  <si>
    <t>09120000-6 Газове паливо</t>
  </si>
  <si>
    <t>09130000-9 Нафта і дистиляти</t>
  </si>
  <si>
    <t>09210000-4 Мастильні засоби</t>
  </si>
  <si>
    <t>09310000-5 Електрична енергія</t>
  </si>
  <si>
    <t>09320000-8 Пара, гаряча вода та пов’язана продукція</t>
  </si>
  <si>
    <t>0953993ce8544975b0b428510430f730</t>
  </si>
  <si>
    <t>0986a1dee0444b95895477caa5557921</t>
  </si>
  <si>
    <t>098f27013013425ca7ba89e7782d30a0</t>
  </si>
  <si>
    <t>0a50686970064433864f040ed802bbbd</t>
  </si>
  <si>
    <t>0ac5c6c2ed394653bf732eb8e7e7a8ac</t>
  </si>
  <si>
    <t>0d47cdf8702f4f709e18468430276b71</t>
  </si>
  <si>
    <t>0d92426bc5e244ed8b5408f98aa1b29c</t>
  </si>
  <si>
    <t>0e19d8e4fa0248eabb04a6e9dadb3ef5</t>
  </si>
  <si>
    <t>0ecbaf7b7d1c4c2aac900e25d32f27b7</t>
  </si>
  <si>
    <t>0ed996c7aea0497fb70ce972fd2cebce</t>
  </si>
  <si>
    <t>0f2090b26e064998948eb3b08374504c</t>
  </si>
  <si>
    <t>0f226e70776249d7bafc55a00f7de711</t>
  </si>
  <si>
    <t>0f35149848d448d79ef6eba837aef2ce</t>
  </si>
  <si>
    <t>1/01/2021/11/21</t>
  </si>
  <si>
    <t>1/03/2021</t>
  </si>
  <si>
    <t>1/04/2021/455/21</t>
  </si>
  <si>
    <t>1/09/2021/718/21</t>
  </si>
  <si>
    <t>1/102/21</t>
  </si>
  <si>
    <t>1/525/21</t>
  </si>
  <si>
    <t>1/г/81/21</t>
  </si>
  <si>
    <t>10/01/2021/20/21</t>
  </si>
  <si>
    <t>10/03/2021/196/21</t>
  </si>
  <si>
    <t>10/04/2021/375/21</t>
  </si>
  <si>
    <t>10/06/2021/612/21</t>
  </si>
  <si>
    <t>10/09/2021/727/21</t>
  </si>
  <si>
    <t>10/43/21</t>
  </si>
  <si>
    <t>10/541/21</t>
  </si>
  <si>
    <t>10/629/21</t>
  </si>
  <si>
    <t>10/882/21</t>
  </si>
  <si>
    <t>100/21</t>
  </si>
  <si>
    <t>100cf44ec7b74c56bf94787cbfd1ca05</t>
  </si>
  <si>
    <t>101/21</t>
  </si>
  <si>
    <t>10234-21/699/21</t>
  </si>
  <si>
    <t>103/21</t>
  </si>
  <si>
    <t>1031d43b4a9c4b55958d17f6eefb58dc</t>
  </si>
  <si>
    <t>104/21/350/21</t>
  </si>
  <si>
    <t>106/21</t>
  </si>
  <si>
    <t>107/21</t>
  </si>
  <si>
    <t>10865f47c5be4467b2bba92d791f5ddb</t>
  </si>
  <si>
    <t>10f5fd68ee3d4ceeaf6abc5cf593f8c9</t>
  </si>
  <si>
    <t>11-02/112/21</t>
  </si>
  <si>
    <t>11-2021-227/21</t>
  </si>
  <si>
    <t>11/01/2021/21/21</t>
  </si>
  <si>
    <t>11/02/846/21</t>
  </si>
  <si>
    <t>11/03/2021/198/21</t>
  </si>
  <si>
    <t>11/04/2021/376/21</t>
  </si>
  <si>
    <t>11/06/2021/613/21</t>
  </si>
  <si>
    <t>11/09/2021/728/21</t>
  </si>
  <si>
    <t>11/44/21</t>
  </si>
  <si>
    <t>110/266/21</t>
  </si>
  <si>
    <t>1106-9/150/21</t>
  </si>
  <si>
    <t>11098eefb7864494a7b821924c831434</t>
  </si>
  <si>
    <t>111/267/21</t>
  </si>
  <si>
    <t>113/21</t>
  </si>
  <si>
    <t>116/200/21</t>
  </si>
  <si>
    <t>116/651/21</t>
  </si>
  <si>
    <t>1196732c8c324973849fc07580b951e6</t>
  </si>
  <si>
    <t>11abb4b749384ce690a0fd0a40abe3ff</t>
  </si>
  <si>
    <t>11b5dccf64754f3e87f7fbee729f55e9</t>
  </si>
  <si>
    <t>11ca25d0a111465ab07b85f2bf6c4184</t>
  </si>
  <si>
    <t>12/01/2021/22/21</t>
  </si>
  <si>
    <t>12/03/2021/187/21</t>
  </si>
  <si>
    <t>12/04/2021/377/21</t>
  </si>
  <si>
    <t>12/06/2021/614/21</t>
  </si>
  <si>
    <t>12/09/2021/729/21</t>
  </si>
  <si>
    <t>12/45/21</t>
  </si>
  <si>
    <t>12/542/21</t>
  </si>
  <si>
    <t>121/21</t>
  </si>
  <si>
    <t>122/21</t>
  </si>
  <si>
    <t>123/21</t>
  </si>
  <si>
    <t>123/21-ЛВ/104/21</t>
  </si>
  <si>
    <t>12311e5dab0d4f3094c5b672dafb7499</t>
  </si>
  <si>
    <t>123fc436d39d4ce8bbde576f7d18338d</t>
  </si>
  <si>
    <t>124/21</t>
  </si>
  <si>
    <t>125/21</t>
  </si>
  <si>
    <t>1257/790/21</t>
  </si>
  <si>
    <t>126/21</t>
  </si>
  <si>
    <t>126/338/21</t>
  </si>
  <si>
    <t>127/21</t>
  </si>
  <si>
    <t>127/339/21</t>
  </si>
  <si>
    <t>128/21</t>
  </si>
  <si>
    <t>128/340/21</t>
  </si>
  <si>
    <t>128e6dbabaa54478b793d482474992dd</t>
  </si>
  <si>
    <t>129/341/21</t>
  </si>
  <si>
    <t>12e0bed9561e43829ee7c3a77d90cc5d</t>
  </si>
  <si>
    <t>13/01/2021/23/21</t>
  </si>
  <si>
    <t>13/03/2021/283/21</t>
  </si>
  <si>
    <t>13/04/2021/378/21</t>
  </si>
  <si>
    <t>13/06/2021/615/21</t>
  </si>
  <si>
    <t>13/591/21</t>
  </si>
  <si>
    <t>130/21</t>
  </si>
  <si>
    <t>130/342/21</t>
  </si>
  <si>
    <t>131/21</t>
  </si>
  <si>
    <t>131/343/21</t>
  </si>
  <si>
    <t>132/21</t>
  </si>
  <si>
    <t>132/21-ЛВ/129/21</t>
  </si>
  <si>
    <t>133/21</t>
  </si>
  <si>
    <t>134/21</t>
  </si>
  <si>
    <t>135/21</t>
  </si>
  <si>
    <t>135/21-ЛВ/149/21</t>
  </si>
  <si>
    <t>1352b54de86940cda82bf4478e649e30</t>
  </si>
  <si>
    <t>137/21</t>
  </si>
  <si>
    <t>138/21</t>
  </si>
  <si>
    <t>13828752</t>
  </si>
  <si>
    <t>139/21</t>
  </si>
  <si>
    <t>13b5528caaca46b9b2f2a960435b5e77</t>
  </si>
  <si>
    <t>13bec54b19fa47a5a0cd60eccdef2455</t>
  </si>
  <si>
    <t>14-1/71/21</t>
  </si>
  <si>
    <t>14/01/2021/24/21</t>
  </si>
  <si>
    <t>14/03/2021/284/21</t>
  </si>
  <si>
    <t>14/04/2021/379/21</t>
  </si>
  <si>
    <t>14/06/2021/616/21</t>
  </si>
  <si>
    <t>14/21/167/21</t>
  </si>
  <si>
    <t>14/21DRG/220/21</t>
  </si>
  <si>
    <t>14/348/21</t>
  </si>
  <si>
    <t>14/590/21</t>
  </si>
  <si>
    <t>140/21</t>
  </si>
  <si>
    <t>14210000-6 Гравій, пісок, щебінь і наповнювачі</t>
  </si>
  <si>
    <t>143/21</t>
  </si>
  <si>
    <t>143/21-ЛВ/297/21</t>
  </si>
  <si>
    <t>14372923</t>
  </si>
  <si>
    <t>144/005/168/21</t>
  </si>
  <si>
    <t>144/21-ЛВ/207/21</t>
  </si>
  <si>
    <t>1448/03/221/21</t>
  </si>
  <si>
    <t>1451d83d68d84f97a093824bd9eee06d</t>
  </si>
  <si>
    <t>146-18/110/21</t>
  </si>
  <si>
    <t>14622000-7 Сталь</t>
  </si>
  <si>
    <t>146ca61e46b74f2ea43bf84f96ba4c5a</t>
  </si>
  <si>
    <t>147-18/111/21</t>
  </si>
  <si>
    <t>147/21</t>
  </si>
  <si>
    <t>1474-9/238/21</t>
  </si>
  <si>
    <t>14810000-2 Абразивні вироби</t>
  </si>
  <si>
    <t>149/19/829/21</t>
  </si>
  <si>
    <t>14df4a238acc4861b0503c88c4edab1d</t>
  </si>
  <si>
    <t>15-20-ТО/57/21</t>
  </si>
  <si>
    <t>15/01/2021/25/21</t>
  </si>
  <si>
    <t>15/03/2021/285/21</t>
  </si>
  <si>
    <t>15/04/2021/380/21</t>
  </si>
  <si>
    <t>15/06/2021/617/21</t>
  </si>
  <si>
    <t>15/349/21</t>
  </si>
  <si>
    <t>15/632/21</t>
  </si>
  <si>
    <t>150e6b9bf7b9424083a128f6881a2732</t>
  </si>
  <si>
    <t>151/21</t>
  </si>
  <si>
    <t>151/416/21</t>
  </si>
  <si>
    <t>15100000-9 Продукція тваринництва, м’ясо та м’ясопродукти</t>
  </si>
  <si>
    <t>15130000-8 М’ясопродукти</t>
  </si>
  <si>
    <t>152/21</t>
  </si>
  <si>
    <t>15210000-3 Рибні філе, печінка та ікра</t>
  </si>
  <si>
    <t>15220000-6 Риба, рибне філе та інше м’ясо риби морожені</t>
  </si>
  <si>
    <t>152d501ede0a4dfdb8ccf193eca7d3d7</t>
  </si>
  <si>
    <t>153/21</t>
  </si>
  <si>
    <t>15310000-4 Картопля та картопляні вироби</t>
  </si>
  <si>
    <t>15330000-0 Оброблені фрукти та овочі</t>
  </si>
  <si>
    <t>15400000-2 Олії та тваринні і рослинні жири</t>
  </si>
  <si>
    <t>15420000-8 Рафіновані олії та жири</t>
  </si>
  <si>
    <t>154КМ/757/21</t>
  </si>
  <si>
    <t>155/21</t>
  </si>
  <si>
    <t>15500000-3 Молочні продукти</t>
  </si>
  <si>
    <t>15510000-6 Молоко та вершки</t>
  </si>
  <si>
    <t>15530000-2 Вершкове масло</t>
  </si>
  <si>
    <t>15540000-5 Сирні продукти</t>
  </si>
  <si>
    <t>15550000-8 Молочні продукти різні</t>
  </si>
  <si>
    <t>156/21</t>
  </si>
  <si>
    <t>15600000-4 Продукція борошномельно-круп’яної промисловості, крохмалі та крохмалепродукти</t>
  </si>
  <si>
    <t>15600000-4 Продукція борошномельно-круп’яної промисловості, крохмалі та крохмалепродукти (крупа перлова Джміль, 1кг)</t>
  </si>
  <si>
    <t>15610000-7 Продукція борошномельно-круп'яної промисловості</t>
  </si>
  <si>
    <t>15620000-0 Крохмалі та крохмалепродукти</t>
  </si>
  <si>
    <t>15669df1c37f40a58a59233044898cb0</t>
  </si>
  <si>
    <t>156c3b6bc8d74d6ab1c2bfdcd77ee6ef</t>
  </si>
  <si>
    <t>157/21</t>
  </si>
  <si>
    <t>15744d5e4482484b99761b3c44ff7c5a</t>
  </si>
  <si>
    <t>158/21</t>
  </si>
  <si>
    <t>15800000-6 Продукти харчування різні</t>
  </si>
  <si>
    <t>15810000-9 Хлібопродукти, свіжовипечені хлібобулочні та кондитерські вироби</t>
  </si>
  <si>
    <t>15820000-2 Сухарі та печиво; пресерви з хлібобулочних і кондитерських виробів</t>
  </si>
  <si>
    <t>15830000-5 Цукор і супутня продукція</t>
  </si>
  <si>
    <t>15850000-1 Макаронні вироби</t>
  </si>
  <si>
    <t>15860000-4 Кава, чай та супутня продукція</t>
  </si>
  <si>
    <t>15870000-7 Заправки та приправи</t>
  </si>
  <si>
    <t>159/21</t>
  </si>
  <si>
    <t>1595/04/429/21</t>
  </si>
  <si>
    <t>15c332fc09b94c02ad61c77b302adabe</t>
  </si>
  <si>
    <t>15ec271deb734062a031fead2491a47d</t>
  </si>
  <si>
    <t>16/01/2021/26/21</t>
  </si>
  <si>
    <t>16/03/2021/286/21</t>
  </si>
  <si>
    <t>16/04/2021/381/21</t>
  </si>
  <si>
    <t>16/06/2021/618/21</t>
  </si>
  <si>
    <t>16/1/21</t>
  </si>
  <si>
    <t>16/657/21</t>
  </si>
  <si>
    <t>160/21</t>
  </si>
  <si>
    <t>160КМ/765/21</t>
  </si>
  <si>
    <t>161/21</t>
  </si>
  <si>
    <t>162/21</t>
  </si>
  <si>
    <t>163/21</t>
  </si>
  <si>
    <t>16310000-1 Косарки</t>
  </si>
  <si>
    <t>163c1129d8c84b97af9dd24344776737</t>
  </si>
  <si>
    <t>164/21</t>
  </si>
  <si>
    <t>164/444/21</t>
  </si>
  <si>
    <t>166/21</t>
  </si>
  <si>
    <t>168/329/21</t>
  </si>
  <si>
    <t>168/576/21</t>
  </si>
  <si>
    <t>16810000-6 Частини для сільськогосподарської техніки</t>
  </si>
  <si>
    <t>169/21</t>
  </si>
  <si>
    <t>16988119de054ae8840252adcce3858e</t>
  </si>
  <si>
    <t>169c0014aa1b46e992bd5664233c4c36</t>
  </si>
  <si>
    <t>16de984e2fe64e0b9673b223745bbedb</t>
  </si>
  <si>
    <t>16f69fcd19204088904db4837ddc3601</t>
  </si>
  <si>
    <t>17/01/2021/27/21</t>
  </si>
  <si>
    <t>17/03/2021/287/21</t>
  </si>
  <si>
    <t>17/04/2021/382/21</t>
  </si>
  <si>
    <t>17/05-2021/1/534/21</t>
  </si>
  <si>
    <t>17/06/2021/619/21</t>
  </si>
  <si>
    <t>17/676/21</t>
  </si>
  <si>
    <t>170/21</t>
  </si>
  <si>
    <t>170bf13ff2fe4f5192275d545405b3f7</t>
  </si>
  <si>
    <t>173/21</t>
  </si>
  <si>
    <t>174/21</t>
  </si>
  <si>
    <t>175/21</t>
  </si>
  <si>
    <t>176/21</t>
  </si>
  <si>
    <t>1762-18/567/21</t>
  </si>
  <si>
    <t>1763-18/568/21</t>
  </si>
  <si>
    <t>177/21-ЛВ/300/21</t>
  </si>
  <si>
    <t>177/517/21</t>
  </si>
  <si>
    <t>178-ЛВ/300/21</t>
  </si>
  <si>
    <t>178/402/21</t>
  </si>
  <si>
    <t>1784 "ГТ"/148/21</t>
  </si>
  <si>
    <t>1784 "ГТ"/387/21</t>
  </si>
  <si>
    <t>1784 "ГТ"/711/21</t>
  </si>
  <si>
    <t>1784 "Т"/178/21</t>
  </si>
  <si>
    <t>1784"ГКТ"/767/21</t>
  </si>
  <si>
    <t>1784"ГКТ"/808/21</t>
  </si>
  <si>
    <t>1784/56/21</t>
  </si>
  <si>
    <t>1789/141/21</t>
  </si>
  <si>
    <t>1789863315</t>
  </si>
  <si>
    <t>179/21</t>
  </si>
  <si>
    <t>1790/05/565/21</t>
  </si>
  <si>
    <t>18/01/2021/28/21</t>
  </si>
  <si>
    <t>18/03/2021/288/21</t>
  </si>
  <si>
    <t>18/04/2021/383/21</t>
  </si>
  <si>
    <t>18/06/2021/620/21</t>
  </si>
  <si>
    <t>18/710/21</t>
  </si>
  <si>
    <t>180/21/298/21</t>
  </si>
  <si>
    <t>181/21</t>
  </si>
  <si>
    <t>181/528/21</t>
  </si>
  <si>
    <t>18130000-9 Спеціальний робочий одяг</t>
  </si>
  <si>
    <t>18140000-2 Аксесуари до робочого одягу</t>
  </si>
  <si>
    <t>181КМ/793/21</t>
  </si>
  <si>
    <t>182/21</t>
  </si>
  <si>
    <t>182/529/21</t>
  </si>
  <si>
    <t>18220000-7 Штормовий одяг</t>
  </si>
  <si>
    <t>183/21</t>
  </si>
  <si>
    <t>183/530/21</t>
  </si>
  <si>
    <t>184/21</t>
  </si>
  <si>
    <t>184/531/21</t>
  </si>
  <si>
    <t>18420000-9 Аксесуари для одягу</t>
  </si>
  <si>
    <t>18429d3f389b4d3d8a11f98c8df0bde1</t>
  </si>
  <si>
    <t>185/21</t>
  </si>
  <si>
    <t>185/532/21</t>
  </si>
  <si>
    <t>186/533/21</t>
  </si>
  <si>
    <t>18812200-6 Гумові чоботи</t>
  </si>
  <si>
    <t>1886/142/21</t>
  </si>
  <si>
    <t>18937000-6 Пакувальні мішки</t>
  </si>
  <si>
    <t>1894410920</t>
  </si>
  <si>
    <t>18af7d2b96de469faecda140ae9fed10</t>
  </si>
  <si>
    <t>19/01/2021/29/21</t>
  </si>
  <si>
    <t>19/03/2021/289/21</t>
  </si>
  <si>
    <t>19/04/2021/384/21</t>
  </si>
  <si>
    <t>19/06/2021/621/21</t>
  </si>
  <si>
    <t>19/792/21</t>
  </si>
  <si>
    <t>1906820519</t>
  </si>
  <si>
    <t>190ea32f0e2d4b73ade6ab0cb5627d21</t>
  </si>
  <si>
    <t>19210000-1 Натуральні тканини</t>
  </si>
  <si>
    <t>19240000-0 Спеціальні тканини</t>
  </si>
  <si>
    <t>193/418/21</t>
  </si>
  <si>
    <t>19430000-9 Пряжа та текстильні нитки з натуральних волокон</t>
  </si>
  <si>
    <t>19510000-4 Гумові вироби</t>
  </si>
  <si>
    <t>19520000-7 Пластмасові вироби</t>
  </si>
  <si>
    <t>19640000-4 Поліетиленові мішки та пакети для сміття</t>
  </si>
  <si>
    <t>196d9d57055f4a60ad7937d11bbbb373</t>
  </si>
  <si>
    <t>1997/06/663/21</t>
  </si>
  <si>
    <t>19b530d542314d6594573bde17d7a43b</t>
  </si>
  <si>
    <t>19bc1fa1cce4431c8072f035e7beb288</t>
  </si>
  <si>
    <t>19c5d45d5b6d4d2f8ca89dd0c7d22bbe</t>
  </si>
  <si>
    <t>19dc4c27629044acbc0da7b96fbe6136</t>
  </si>
  <si>
    <t>19ed9c2d4afd417eaf377f16210ff7a7</t>
  </si>
  <si>
    <t>19ef401378d746d0a0bf1c76937a8cbd</t>
  </si>
  <si>
    <t>19fa8427c41e4b6bbfe663c2785260d7</t>
  </si>
  <si>
    <t>19fd4f4feeb947dc85c0b622de43d141</t>
  </si>
  <si>
    <t>1aee6e4ba9904268a8d0d9d7490d1be8</t>
  </si>
  <si>
    <t>1b1f9a779dc447ef985da2b9670fc12e</t>
  </si>
  <si>
    <t>1b3304a6d2b246d5b2dc948624ca33bb</t>
  </si>
  <si>
    <t>1bb573a0047f4684a0fdebfaa8a599f7</t>
  </si>
  <si>
    <t>1c805c580132492aa6520ac4c87021e8</t>
  </si>
  <si>
    <t>1d8cffdcc52c4f86955e03f168c4c3fd</t>
  </si>
  <si>
    <t>1e31846c5ca94b87bcdac66740a5d550</t>
  </si>
  <si>
    <t>1e65d98c2a7f4af3a5adc6cb7f8246ca</t>
  </si>
  <si>
    <t>1e9bbecc5dc348b1bc6c12a183cea186</t>
  </si>
  <si>
    <t>1ec2744a91444979b9c88e9d3cd92ab5</t>
  </si>
  <si>
    <t>1f0e007fc8964f5bbef103bde1a4fe7a</t>
  </si>
  <si>
    <t>1f1e8580e0854d289f1748a6c601494d</t>
  </si>
  <si>
    <t>1fc87f0ece2048b68540ad8c4ac37612</t>
  </si>
  <si>
    <t>1ff6bd1554a14e91bbf886659b4c975e</t>
  </si>
  <si>
    <t>2 СПЕЦІАЛЬНИЙ  ЦЕНТР ШВИДКОГО РЕАГУВАННЯ ДЕРЖАВНОЇ СЛУЖБИ УКРАЇНИ З НАДЗВИЧАЙНИХ СИТУАЦІЙ</t>
  </si>
  <si>
    <t>2/0/358/21</t>
  </si>
  <si>
    <t>2/01/2021/12/21</t>
  </si>
  <si>
    <t>2/03/2021/188/21</t>
  </si>
  <si>
    <t>2/09/2021/719/21</t>
  </si>
  <si>
    <t>2/21</t>
  </si>
  <si>
    <t>2/230/21</t>
  </si>
  <si>
    <t>2/553/21</t>
  </si>
  <si>
    <t>2/566/21</t>
  </si>
  <si>
    <t>2/О/667/21</t>
  </si>
  <si>
    <t>2/О/740/21</t>
  </si>
  <si>
    <t>2/Т/186/21</t>
  </si>
  <si>
    <t>2/Т/4/21</t>
  </si>
  <si>
    <t>2/Т/674/21</t>
  </si>
  <si>
    <t>2/Т/732/21</t>
  </si>
  <si>
    <t>20/01/2021/30/21</t>
  </si>
  <si>
    <t>20/02/136/21</t>
  </si>
  <si>
    <t>20/03/2021/290/21</t>
  </si>
  <si>
    <t>20/04/2021/385/21</t>
  </si>
  <si>
    <t>20/06/2021/622/21</t>
  </si>
  <si>
    <t>20/2021/105/21</t>
  </si>
  <si>
    <t>20/42/21</t>
  </si>
  <si>
    <t>20/791/21</t>
  </si>
  <si>
    <t>20/871/21</t>
  </si>
  <si>
    <t>2007/2021/652/21</t>
  </si>
  <si>
    <t>2016723220</t>
  </si>
  <si>
    <t>2022/154/21</t>
  </si>
  <si>
    <t>20287/41/21</t>
  </si>
  <si>
    <t>2038500135</t>
  </si>
  <si>
    <t>20635031</t>
  </si>
  <si>
    <t>20762344</t>
  </si>
  <si>
    <t>20763510</t>
  </si>
  <si>
    <t>20774790</t>
  </si>
  <si>
    <t>20775105</t>
  </si>
  <si>
    <t>208/21</t>
  </si>
  <si>
    <t>2082119568</t>
  </si>
  <si>
    <t>20824157</t>
  </si>
  <si>
    <t>20a6da8069b6496bb78a9f912a400cfa</t>
  </si>
  <si>
    <t>21-08-2543-012/739/21</t>
  </si>
  <si>
    <t>21-08-2544-014/738/21</t>
  </si>
  <si>
    <t>21-232/144/21</t>
  </si>
  <si>
    <t>21/01/2021/31/21</t>
  </si>
  <si>
    <t>21/04/2021/463/21</t>
  </si>
  <si>
    <t>21/06/2021/623/21</t>
  </si>
  <si>
    <t>210/21</t>
  </si>
  <si>
    <t>2105908548</t>
  </si>
  <si>
    <t>211/21</t>
  </si>
  <si>
    <t>21164156/698/21</t>
  </si>
  <si>
    <t>21191756/777/21</t>
  </si>
  <si>
    <t>213/21</t>
  </si>
  <si>
    <t>2133edd6ee8d41c5bc81d197a060c167</t>
  </si>
  <si>
    <t>214/21</t>
  </si>
  <si>
    <t>214/585/21</t>
  </si>
  <si>
    <t>215/586/21</t>
  </si>
  <si>
    <t>21560766</t>
  </si>
  <si>
    <t>216/21</t>
  </si>
  <si>
    <t>2160/240/21</t>
  </si>
  <si>
    <t>21608b82148d4e7caa1d9e6adf0ec77b</t>
  </si>
  <si>
    <t>2161/241/21</t>
  </si>
  <si>
    <t>2162/242/21</t>
  </si>
  <si>
    <t>21633086</t>
  </si>
  <si>
    <t>2163718659</t>
  </si>
  <si>
    <t>217/21</t>
  </si>
  <si>
    <t>2181cf5c64a54581b5cf1f339b6ee3ac</t>
  </si>
  <si>
    <t>2182908257</t>
  </si>
  <si>
    <t>2189/263/21</t>
  </si>
  <si>
    <t>219/21</t>
  </si>
  <si>
    <t>2190/264/21</t>
  </si>
  <si>
    <t>21ff0e26f4334f31be6c867678780ff4</t>
  </si>
  <si>
    <t>22/01/2021/32/21</t>
  </si>
  <si>
    <t>22/04/2021/465/21</t>
  </si>
  <si>
    <t>22/06/2021/624/21</t>
  </si>
  <si>
    <t>22174404</t>
  </si>
  <si>
    <t>221aa05205254720bfcffc1c0b4a1930</t>
  </si>
  <si>
    <t>222/21</t>
  </si>
  <si>
    <t>22210000-5 Газети</t>
  </si>
  <si>
    <t>22213000-6 Журнали</t>
  </si>
  <si>
    <t>2225/293/21</t>
  </si>
  <si>
    <t>223/21</t>
  </si>
  <si>
    <t>22333618</t>
  </si>
  <si>
    <t>22372423</t>
  </si>
  <si>
    <t>224/21</t>
  </si>
  <si>
    <t>2244/516/21</t>
  </si>
  <si>
    <t>22450000-9 Друкована продукція з елементами захисту</t>
  </si>
  <si>
    <t>225/21</t>
  </si>
  <si>
    <t>2258/306/21</t>
  </si>
  <si>
    <t>2259/307/21</t>
  </si>
  <si>
    <t>2276501319</t>
  </si>
  <si>
    <t>2276a62649cd4a3faa0bb44f24a8f62f</t>
  </si>
  <si>
    <t>228/21</t>
  </si>
  <si>
    <t>2281623428</t>
  </si>
  <si>
    <t>22820000-4 Бланки</t>
  </si>
  <si>
    <t>2284113833</t>
  </si>
  <si>
    <t>22900000-9 Друкована продукція різна</t>
  </si>
  <si>
    <t>22990000-6 Газетний папір, папір ручного виготовлення та інший некрейдований папір або картон для графічних цілей</t>
  </si>
  <si>
    <t>22a005f5ed9d4a12be9e9f2eeaad86cb</t>
  </si>
  <si>
    <t>23/01/2021/33/21</t>
  </si>
  <si>
    <t>23/04/2021/464/21</t>
  </si>
  <si>
    <t>23/06/2021/625/21</t>
  </si>
  <si>
    <t>23/647/21</t>
  </si>
  <si>
    <t>230/21-ЛВ/505/21</t>
  </si>
  <si>
    <t>230516619d414415a72ca28e2940987a</t>
  </si>
  <si>
    <t>231/21</t>
  </si>
  <si>
    <t>232/21</t>
  </si>
  <si>
    <t>2328d8d496aa49e48c856e90e0791e0b</t>
  </si>
  <si>
    <t>232e17e36be54be792732341a6997699</t>
  </si>
  <si>
    <t>233/21</t>
  </si>
  <si>
    <t>2336905974</t>
  </si>
  <si>
    <t>234/21</t>
  </si>
  <si>
    <t>2343/322/21</t>
  </si>
  <si>
    <t>2344009534</t>
  </si>
  <si>
    <t>235/21</t>
  </si>
  <si>
    <t>236/21</t>
  </si>
  <si>
    <t>2364010746</t>
  </si>
  <si>
    <t>23699557</t>
  </si>
  <si>
    <t>2376906617</t>
  </si>
  <si>
    <t>23882505</t>
  </si>
  <si>
    <t>23889789</t>
  </si>
  <si>
    <t>239/21</t>
  </si>
  <si>
    <t>23990301</t>
  </si>
  <si>
    <t>24/01/2021/34/21</t>
  </si>
  <si>
    <t>24/04/2021/466/21</t>
  </si>
  <si>
    <t>24/06/2021/626/21</t>
  </si>
  <si>
    <t>24/21 DRG/427/21</t>
  </si>
  <si>
    <t>2408/388/21</t>
  </si>
  <si>
    <t>24110000-8 Промислові гази</t>
  </si>
  <si>
    <t>24111900-4 Кисень</t>
  </si>
  <si>
    <t>2416308058</t>
  </si>
  <si>
    <t>242fac6fede746a4bb8f6ec05edc8668</t>
  </si>
  <si>
    <t>243/21</t>
  </si>
  <si>
    <t>24320000-3 Основні органічні хімічні речовини</t>
  </si>
  <si>
    <t>244/21</t>
  </si>
  <si>
    <t>24450000-3 Агрохімічна продукція</t>
  </si>
  <si>
    <t>24455000-8 Дезинфекційні засоби</t>
  </si>
  <si>
    <t>245/21</t>
  </si>
  <si>
    <t>24512cec90e44bc2a109bad54f1736ee</t>
  </si>
  <si>
    <t>24590000-6 Силікони у первинній формі</t>
  </si>
  <si>
    <t>246/21</t>
  </si>
  <si>
    <t>2460400554</t>
  </si>
  <si>
    <t>2466009270</t>
  </si>
  <si>
    <t>247/21</t>
  </si>
  <si>
    <t>247/21-ЛВ/554/21</t>
  </si>
  <si>
    <t>2480209574</t>
  </si>
  <si>
    <t>24876e69396149449ee4dd73e0b3b1f1</t>
  </si>
  <si>
    <t>249/21-ЛВ/555/21</t>
  </si>
  <si>
    <t>24910000-6 Клеї</t>
  </si>
  <si>
    <t>24930000-2 Фотохімікати</t>
  </si>
  <si>
    <t>24950000-8 Спеціалізована хімічна продукція</t>
  </si>
  <si>
    <t>24951120-2 Силіконова змазка</t>
  </si>
  <si>
    <t>24960000-1 Хімічна продукція різна</t>
  </si>
  <si>
    <t>24a06d4a2349462fb45f97db4ce97e2d</t>
  </si>
  <si>
    <t>24c513302a6c4b9f9383f9a1af31b3b6</t>
  </si>
  <si>
    <t>25/04/2021/467/21</t>
  </si>
  <si>
    <t>25/06/2021/627/21</t>
  </si>
  <si>
    <t>252/21</t>
  </si>
  <si>
    <t>2524013267</t>
  </si>
  <si>
    <t>254/21</t>
  </si>
  <si>
    <t>2541310850</t>
  </si>
  <si>
    <t>25456151baa94620adf35d6d37964571</t>
  </si>
  <si>
    <t>2546002144</t>
  </si>
  <si>
    <t>255/21</t>
  </si>
  <si>
    <t>25546929</t>
  </si>
  <si>
    <t>2556/74/21</t>
  </si>
  <si>
    <t>2558b49897cd4d1ba59a1a8cf3cceb4e</t>
  </si>
  <si>
    <t>256/21</t>
  </si>
  <si>
    <t>257/21</t>
  </si>
  <si>
    <t>25b037d066b347f8b9686db1f4104aea</t>
  </si>
  <si>
    <t>25bc589a4a704744801013aa80d795d8</t>
  </si>
  <si>
    <t>25dbae3a70a7422cbc7e07a826e5f36f</t>
  </si>
  <si>
    <t>26/04/2021/468/21</t>
  </si>
  <si>
    <t>260/21-ЛВ/630/21</t>
  </si>
  <si>
    <t>2608219515</t>
  </si>
  <si>
    <t>26181306</t>
  </si>
  <si>
    <t>262/21</t>
  </si>
  <si>
    <t>2626800212</t>
  </si>
  <si>
    <t>2631fe763ddc43c684a8aa65abc30a46</t>
  </si>
  <si>
    <t>2644/440/21</t>
  </si>
  <si>
    <t>2645/441/21</t>
  </si>
  <si>
    <t>264d2f4da6344f9c92b4eb013ef5b35b</t>
  </si>
  <si>
    <t>267571/649/21</t>
  </si>
  <si>
    <t>268/21</t>
  </si>
  <si>
    <t>2682e254d8fd4f1fabb730b4b62a3013</t>
  </si>
  <si>
    <t>269/21</t>
  </si>
  <si>
    <t>269df2102297498993d0540e440c5a35</t>
  </si>
  <si>
    <t>27/04/20121/469/21</t>
  </si>
  <si>
    <t>270/21</t>
  </si>
  <si>
    <t>271/21</t>
  </si>
  <si>
    <t>2713415855</t>
  </si>
  <si>
    <t>272/21</t>
  </si>
  <si>
    <t>2731613668</t>
  </si>
  <si>
    <t>27320ec8685d4d1cb2a1f15b5b07688d</t>
  </si>
  <si>
    <t>2751f5d7c21349d78bb4914fc8459031</t>
  </si>
  <si>
    <t>2752800399</t>
  </si>
  <si>
    <t>275d2dbb70d24b37be80280c24275840</t>
  </si>
  <si>
    <t>2764112067</t>
  </si>
  <si>
    <t>2769112221</t>
  </si>
  <si>
    <t>2795a8426496455bab8eeda768acd143</t>
  </si>
  <si>
    <t>28/04/2021/481/21</t>
  </si>
  <si>
    <t>28/715/21</t>
  </si>
  <si>
    <t>280/21-ЛВ/758/21</t>
  </si>
  <si>
    <t>2802/511/21</t>
  </si>
  <si>
    <t>2803/512/21</t>
  </si>
  <si>
    <t>2806617432</t>
  </si>
  <si>
    <t>282-9/48/21</t>
  </si>
  <si>
    <t>283730e0db1245ea8fc55fc24639585b</t>
  </si>
  <si>
    <t>284/21-ЛВ/764/21</t>
  </si>
  <si>
    <t>2860/513/21</t>
  </si>
  <si>
    <t>2860106954</t>
  </si>
  <si>
    <t>2867721789</t>
  </si>
  <si>
    <t>286aaaf588814580b282a2843463364e</t>
  </si>
  <si>
    <t>28a92958d0cb4a1d8961add8e59a624f</t>
  </si>
  <si>
    <t>28f3e182c1ce457fab07d9f4ddcc4198</t>
  </si>
  <si>
    <t>29/04/2021/470/21</t>
  </si>
  <si>
    <t>2901420535</t>
  </si>
  <si>
    <t>2903415022</t>
  </si>
  <si>
    <t>2928000493</t>
  </si>
  <si>
    <t>2932109532</t>
  </si>
  <si>
    <t>2937217260</t>
  </si>
  <si>
    <t>293e1a5193d5416eb9c93b03935a9acc</t>
  </si>
  <si>
    <t>294/21</t>
  </si>
  <si>
    <t>2946509676</t>
  </si>
  <si>
    <t>295/21</t>
  </si>
  <si>
    <t>296/21</t>
  </si>
  <si>
    <t>299/21</t>
  </si>
  <si>
    <t>2991918093</t>
  </si>
  <si>
    <t>2a0687192112483e8f6e38445647fcc6</t>
  </si>
  <si>
    <t>2a17397d198540f899eddf5a48b2f42e</t>
  </si>
  <si>
    <t>2a2d0c6f58b44b88a85857647e5fe5c7</t>
  </si>
  <si>
    <t>2a30a03f261e4c7dbde321dd2c109ea2</t>
  </si>
  <si>
    <t>2ae6008a839745a9a0bc708d4f70f383</t>
  </si>
  <si>
    <t>2b24861b7bc54b3eb8c35ef519c52818</t>
  </si>
  <si>
    <t>2b475100dffe42c2adeaf0f286870f05</t>
  </si>
  <si>
    <t>2c2d15ee50ee48c69fbd289ec2434f92</t>
  </si>
  <si>
    <t>2ca4fd89328d40a2a08e22b57e174168</t>
  </si>
  <si>
    <t>2d27d17f6d074c94b9ec6cc3f1d18ae8</t>
  </si>
  <si>
    <t>2d7fdfba2b1e454383b20caba2e6412c</t>
  </si>
  <si>
    <t>2da8b5ed41404ae9a23f1155ae898cad</t>
  </si>
  <si>
    <t>2db309bce70a4b3984d7436b101effa8</t>
  </si>
  <si>
    <t>2e08c2339c8b43eeb61ceeb98112afd8</t>
  </si>
  <si>
    <t>2f2c83a138d847e186f41e5c9ab46b2f</t>
  </si>
  <si>
    <t>2faa328f18a741dfb1f3995b4622e16c</t>
  </si>
  <si>
    <t>2fb856ada3e84a8e848f1bdc7985e1b4</t>
  </si>
  <si>
    <t>3</t>
  </si>
  <si>
    <t>3/01/2021/13/21</t>
  </si>
  <si>
    <t>3/03/2021</t>
  </si>
  <si>
    <t>3/09/2021/720/21</t>
  </si>
  <si>
    <t>3/21</t>
  </si>
  <si>
    <t>3/229/21</t>
  </si>
  <si>
    <t>30/04/2021/471/21</t>
  </si>
  <si>
    <t>30/824/21</t>
  </si>
  <si>
    <t>3004213438</t>
  </si>
  <si>
    <t>30084713</t>
  </si>
  <si>
    <t>300d0ace093e475cab33ef279316c0c2</t>
  </si>
  <si>
    <t>30120000-6 Фотокопіювальне та поліграфічне обладнання для офсетного друку</t>
  </si>
  <si>
    <t>30140000-2 Лічильна та обчислювальна техніка</t>
  </si>
  <si>
    <t>30163496</t>
  </si>
  <si>
    <t>30190000-7 Офісне устаткування та приладдя різне</t>
  </si>
  <si>
    <t>302/21</t>
  </si>
  <si>
    <t>30210000-4 Машини для обробки даних (апаратна частина)</t>
  </si>
  <si>
    <t>30230000-0 Комп’ютерне обладнання</t>
  </si>
  <si>
    <t>30299519</t>
  </si>
  <si>
    <t>303/21</t>
  </si>
  <si>
    <t>30302f0d4662439aa4e3d4a7aff7fa7c</t>
  </si>
  <si>
    <t>3032523829</t>
  </si>
  <si>
    <t>3032f4ae99784038bb6482c066a2f2fd</t>
  </si>
  <si>
    <t>3035/114/21</t>
  </si>
  <si>
    <t>3035/115/21</t>
  </si>
  <si>
    <t>3035/825/21</t>
  </si>
  <si>
    <t>3035/826/21</t>
  </si>
  <si>
    <t>3040923210</t>
  </si>
  <si>
    <t>3041206558</t>
  </si>
  <si>
    <t>30484438</t>
  </si>
  <si>
    <t>3048da6bab784f49b2f8ac06cc24621a</t>
  </si>
  <si>
    <t>305/755/21</t>
  </si>
  <si>
    <t>306/756/21</t>
  </si>
  <si>
    <t>3069810173</t>
  </si>
  <si>
    <t>3075612038</t>
  </si>
  <si>
    <t>3077012283</t>
  </si>
  <si>
    <t>308/21</t>
  </si>
  <si>
    <t>3083311021</t>
  </si>
  <si>
    <t>309/459/21</t>
  </si>
  <si>
    <t>3092010147</t>
  </si>
  <si>
    <t>3095394b4d474974bf5b37b2260d7009</t>
  </si>
  <si>
    <t>31/04/2021/</t>
  </si>
  <si>
    <t>31/21/DRG/544/21</t>
  </si>
  <si>
    <t>310/760/21</t>
  </si>
  <si>
    <t>311/21</t>
  </si>
  <si>
    <t>31150000-2 Баласти для розрядних ламп чи трубок</t>
  </si>
  <si>
    <t>312/21</t>
  </si>
  <si>
    <t>31210000-1 Електрична апаратура для комутування та захисту електричних кіл</t>
  </si>
  <si>
    <t>31220000-4 Елементи електричних схем</t>
  </si>
  <si>
    <t>31264010</t>
  </si>
  <si>
    <t>313/21</t>
  </si>
  <si>
    <t>31310000-2 Мережеві кабелі</t>
  </si>
  <si>
    <t>3131909787</t>
  </si>
  <si>
    <t>3134648ecec846bea9cfcd18b22e6289</t>
  </si>
  <si>
    <t>314/21</t>
  </si>
  <si>
    <t>31400000-0 Акумулятори, гальванічні елементи та гальванічні батареї</t>
  </si>
  <si>
    <t>31410000-3 Гальванічні елементи</t>
  </si>
  <si>
    <t>31423376</t>
  </si>
  <si>
    <t>31430000-9 Електричні акумулятори</t>
  </si>
  <si>
    <t>31440000-2 Акумуляторні батареї</t>
  </si>
  <si>
    <t>315/21</t>
  </si>
  <si>
    <t>31510000-4 Електричні лампи розжарення</t>
  </si>
  <si>
    <t>31515000-9 Лампи ультрафіолетового світла</t>
  </si>
  <si>
    <t>31520000-7 Світильники та освітлювальна арматура</t>
  </si>
  <si>
    <t>316/21</t>
  </si>
  <si>
    <t>31607028</t>
  </si>
  <si>
    <t>31650000-7 Ізоляційне приладдя</t>
  </si>
  <si>
    <t>31680000-6 Електричне приладдя та супутні товари до електричного обладнання</t>
  </si>
  <si>
    <t>317/21</t>
  </si>
  <si>
    <t>318/21</t>
  </si>
  <si>
    <t>319/21</t>
  </si>
  <si>
    <t>31902769</t>
  </si>
  <si>
    <t>3198505635</t>
  </si>
  <si>
    <t>31e4e0ed835542849690aea9fb658f3a</t>
  </si>
  <si>
    <t>32-2021/706/21</t>
  </si>
  <si>
    <t>32/04/2021/743/21</t>
  </si>
  <si>
    <t>320/21</t>
  </si>
  <si>
    <t>321/21</t>
  </si>
  <si>
    <t>32117635</t>
  </si>
  <si>
    <t>3217118019</t>
  </si>
  <si>
    <t>32220000-1 Телевізійна передавальна апаратура без приймальних пристроїв</t>
  </si>
  <si>
    <t>323/21</t>
  </si>
  <si>
    <t>32320000-2 Телевізійне й аудіовізуальне обладнання</t>
  </si>
  <si>
    <t>32330000-5 Апаратура для запису та відтворення аудіо- та відеоматеріалу</t>
  </si>
  <si>
    <t>32367433</t>
  </si>
  <si>
    <t>324/21</t>
  </si>
  <si>
    <t>32409127</t>
  </si>
  <si>
    <t>32420000-3 Мережеве обладнання</t>
  </si>
  <si>
    <t>3247604271</t>
  </si>
  <si>
    <t>32490244</t>
  </si>
  <si>
    <t>325/21</t>
  </si>
  <si>
    <t>32520000-4 Телекомунікаційні кабелі та обладнання</t>
  </si>
  <si>
    <t>32580000-2 Інформаційне обладнання</t>
  </si>
  <si>
    <t>32599920</t>
  </si>
  <si>
    <t>326/21</t>
  </si>
  <si>
    <t>3264cd73c89c4a1a82fed8ec2a7704f3</t>
  </si>
  <si>
    <t>326bd8eb78dd43d49d2abb631c2fa3f9</t>
  </si>
  <si>
    <t>327/21</t>
  </si>
  <si>
    <t>32713212</t>
  </si>
  <si>
    <t>328/21</t>
  </si>
  <si>
    <t>3285904938</t>
  </si>
  <si>
    <t>32923858</t>
  </si>
  <si>
    <t>3297903158</t>
  </si>
  <si>
    <t>32c86d65b38e42eeab176dfed7951f53</t>
  </si>
  <si>
    <t>32f236b9db794f5aa4140ce2a501539a</t>
  </si>
  <si>
    <t>32С790-13238-21/584/21</t>
  </si>
  <si>
    <t>33/04/2021/474/21</t>
  </si>
  <si>
    <t>330/21</t>
  </si>
  <si>
    <t>33006821</t>
  </si>
  <si>
    <t>3304813316</t>
  </si>
  <si>
    <t>331/21</t>
  </si>
  <si>
    <t>33100000-1 Медичне обладнання</t>
  </si>
  <si>
    <t>33110000-4 Візуалізаційне обладнання для потреб медицини, стоматології та ветеринарної медицини</t>
  </si>
  <si>
    <t>33120000-7 Системи реєстрації медичної інформації та дослідне обладнання</t>
  </si>
  <si>
    <t>33140000-3 Медичні матеріали</t>
  </si>
  <si>
    <t>33150000-6 Апаратура для радіотерапії, механотерапії, електротерапії та фізичної терапії</t>
  </si>
  <si>
    <t>33160000-9 Устаткування для операційних блоків</t>
  </si>
  <si>
    <t>33170000-2 Обладнання для анестезії та реанімації</t>
  </si>
  <si>
    <t>33190000-8 Медичне обладнання та вироби медичного призначення різні</t>
  </si>
  <si>
    <t>33192160-1 Ноші</t>
  </si>
  <si>
    <t>33192200-4 Медичні столи</t>
  </si>
  <si>
    <t>33198000-4 Лікарняні паперові вироби</t>
  </si>
  <si>
    <t>332/21</t>
  </si>
  <si>
    <t>333/21</t>
  </si>
  <si>
    <t>334/21</t>
  </si>
  <si>
    <t>335/21</t>
  </si>
  <si>
    <t>33542497</t>
  </si>
  <si>
    <t>3356e87992de44ad8cdd998183ced7df</t>
  </si>
  <si>
    <t>336/21</t>
  </si>
  <si>
    <t>33600000-6 Фармацевтична продукція</t>
  </si>
  <si>
    <t>33630000-5 Лікарські засоби для лікування дерматологічних захворювань та захворювань опорно-рухового апарату</t>
  </si>
  <si>
    <t>33667438</t>
  </si>
  <si>
    <t>33690000-3 Лікарські засоби різні</t>
  </si>
  <si>
    <t>33696000-5 Реактиви та контрастні речовини</t>
  </si>
  <si>
    <t>337/21</t>
  </si>
  <si>
    <t>337/21-ЛВ/875/21</t>
  </si>
  <si>
    <t>33710000-0 Парфуми, засоби гігієни та презервативи</t>
  </si>
  <si>
    <t>33740000-9 Засоби для догляду за руками та нігтями</t>
  </si>
  <si>
    <t>33741300-9 Антисептичні засоби для рук</t>
  </si>
  <si>
    <t>33750000-2 Засоби для догляду за малюками</t>
  </si>
  <si>
    <t>33760000-5 Туалетний папір, носові хустинки, рушники для рук і серветки</t>
  </si>
  <si>
    <t>3387910190</t>
  </si>
  <si>
    <t>3388008731</t>
  </si>
  <si>
    <t>33972000-4 Мішки для моргів</t>
  </si>
  <si>
    <t>34/04/2021/475/21</t>
  </si>
  <si>
    <t>3405107905</t>
  </si>
  <si>
    <t>3408908950</t>
  </si>
  <si>
    <t>3416309056</t>
  </si>
  <si>
    <t>342/21-ЛВ/885/21</t>
  </si>
  <si>
    <t>342/21/ВН/226/21</t>
  </si>
  <si>
    <t>34320000-6 Механічні запасні частини, крім двигунів і частин двигунів</t>
  </si>
  <si>
    <t>34330000-9 Запасні частини до вантажних транспортних засобів, фургонів та легкових автомобілів</t>
  </si>
  <si>
    <t>3435205184</t>
  </si>
  <si>
    <t>3435dcb833534226ad9fcbd444e02a73</t>
  </si>
  <si>
    <t>3444406757</t>
  </si>
  <si>
    <t>34519139</t>
  </si>
  <si>
    <t>3453609035</t>
  </si>
  <si>
    <t>3456009612</t>
  </si>
  <si>
    <t>346/21</t>
  </si>
  <si>
    <t>3469901548</t>
  </si>
  <si>
    <t>347/21</t>
  </si>
  <si>
    <t>3474003982</t>
  </si>
  <si>
    <t>34910000-9 Гужові чи ручні вози, інші транспортні засоби з немеханічним приводом, багажні вози та різні запасні частини</t>
  </si>
  <si>
    <t>34a9bf9e6b7e4b57b689979ab0532f06</t>
  </si>
  <si>
    <t>34b992d0e1f340c6817610bdcd8fee7c</t>
  </si>
  <si>
    <t>35/04/2021/476/21</t>
  </si>
  <si>
    <t>35/21</t>
  </si>
  <si>
    <t>351/21</t>
  </si>
  <si>
    <t>35110000-8 Протипожежне, рятувальне та захисне обладнання</t>
  </si>
  <si>
    <t>3515806540</t>
  </si>
  <si>
    <t>352/21</t>
  </si>
  <si>
    <t>3527707378</t>
  </si>
  <si>
    <t>3529107601</t>
  </si>
  <si>
    <t>352d6e1c0ab0427380a02c195f0a06b8</t>
  </si>
  <si>
    <t>353/21</t>
  </si>
  <si>
    <t>35382904</t>
  </si>
  <si>
    <t>354/21</t>
  </si>
  <si>
    <t>35417298</t>
  </si>
  <si>
    <t>355/21</t>
  </si>
  <si>
    <t>355000d811b840ad898e2187100532c9</t>
  </si>
  <si>
    <t>3556209790</t>
  </si>
  <si>
    <t>35562908</t>
  </si>
  <si>
    <t>356/21</t>
  </si>
  <si>
    <t>357/21</t>
  </si>
  <si>
    <t>357/795/21</t>
  </si>
  <si>
    <t>357b52f259ef4786bc5defcb12f28da0</t>
  </si>
  <si>
    <t>35838749</t>
  </si>
  <si>
    <t>359/21</t>
  </si>
  <si>
    <t>35fbed95366e48e9bb3ca16988b202f9</t>
  </si>
  <si>
    <t>36/04/2021/477/21</t>
  </si>
  <si>
    <t>36/21</t>
  </si>
  <si>
    <t>360/21</t>
  </si>
  <si>
    <t>360/813/21</t>
  </si>
  <si>
    <t>36074229</t>
  </si>
  <si>
    <t>3608-18/736/21</t>
  </si>
  <si>
    <t>361/21</t>
  </si>
  <si>
    <t>3612-18/737/21</t>
  </si>
  <si>
    <t>36157713</t>
  </si>
  <si>
    <t>3617510159</t>
  </si>
  <si>
    <t>362/21</t>
  </si>
  <si>
    <t>36248687</t>
  </si>
  <si>
    <t>363/21</t>
  </si>
  <si>
    <t>364/21</t>
  </si>
  <si>
    <t>365/21</t>
  </si>
  <si>
    <t>365bf9e1801b4d4e832210fef9a23cca</t>
  </si>
  <si>
    <t>366/21</t>
  </si>
  <si>
    <t>367/21</t>
  </si>
  <si>
    <t>3670/662/21</t>
  </si>
  <si>
    <t>36705378</t>
  </si>
  <si>
    <t>3671/658/21</t>
  </si>
  <si>
    <t>36713698</t>
  </si>
  <si>
    <t>3672/659/21</t>
  </si>
  <si>
    <t>3673/660/21</t>
  </si>
  <si>
    <t>36861c59d8c04754b608442ff5fc07a4</t>
  </si>
  <si>
    <t>369/309/21</t>
  </si>
  <si>
    <t>37/04/2021/478/21</t>
  </si>
  <si>
    <t>37/21 DRG/580/21</t>
  </si>
  <si>
    <t>372d84aceadb43108b6122a043c0d209</t>
  </si>
  <si>
    <t>37333435</t>
  </si>
  <si>
    <t>37507592</t>
  </si>
  <si>
    <t>37515425</t>
  </si>
  <si>
    <t>37582308</t>
  </si>
  <si>
    <t>375f5b4b47284b94b7fa3bd0b4fb2599</t>
  </si>
  <si>
    <t>37656348</t>
  </si>
  <si>
    <t>37680852</t>
  </si>
  <si>
    <t>37797799</t>
  </si>
  <si>
    <t>37820000-2 Приладдя для образотворчого мистецтва</t>
  </si>
  <si>
    <t>37a3aec8bb6d42e6a556153a1dc4b3c3</t>
  </si>
  <si>
    <t>37cfb6469d21491e831994589473d145</t>
  </si>
  <si>
    <t>37d27250513648f19b39ba79bc1310a1</t>
  </si>
  <si>
    <t>38/04/2021/479/21</t>
  </si>
  <si>
    <t>38/21</t>
  </si>
  <si>
    <t>38007479</t>
  </si>
  <si>
    <t>38007505</t>
  </si>
  <si>
    <t>38008192</t>
  </si>
  <si>
    <t>381/856/21</t>
  </si>
  <si>
    <t>38173275a967497db398181df199eaa1</t>
  </si>
  <si>
    <t>381a1011ca2e4c0796c1bf3e23e480bc</t>
  </si>
  <si>
    <t>38310000-1 Високоточні терези</t>
  </si>
  <si>
    <t>38345221</t>
  </si>
  <si>
    <t>38420000-5 Прилади для вимірювання витрати, рівня та тиску рідин і газів</t>
  </si>
  <si>
    <t>38424837</t>
  </si>
  <si>
    <t>38430000-8 Детектори та аналізатори</t>
  </si>
  <si>
    <t>38501853</t>
  </si>
  <si>
    <t>3856a986cc214fa7b4ab2ca2752daa08</t>
  </si>
  <si>
    <t>385b821a19c549568562d6fcacc153ee</t>
  </si>
  <si>
    <t>386/21-РБК/782/21</t>
  </si>
  <si>
    <t>38606078</t>
  </si>
  <si>
    <t>38630000-0 Астрономічні та оптичні прилади</t>
  </si>
  <si>
    <t>38701291</t>
  </si>
  <si>
    <t>38717123</t>
  </si>
  <si>
    <t>387f3f6e33b14961be20e2d66523b5dd</t>
  </si>
  <si>
    <t>38831396</t>
  </si>
  <si>
    <t>389/21</t>
  </si>
  <si>
    <t>38948768</t>
  </si>
  <si>
    <t>389867537923464e9d7078cd5cb7db92</t>
  </si>
  <si>
    <t>38993171</t>
  </si>
  <si>
    <t>39/04/2021/480/21</t>
  </si>
  <si>
    <t>39/21</t>
  </si>
  <si>
    <t>390/21</t>
  </si>
  <si>
    <t>391/21</t>
  </si>
  <si>
    <t>39110000-6 Сидіння, стільці та супутні вироби і частини до них</t>
  </si>
  <si>
    <t>39122200-5 Книжкові шафи</t>
  </si>
  <si>
    <t>39130000-2 Офісні меблі</t>
  </si>
  <si>
    <t>39140000-5 Меблі для дому</t>
  </si>
  <si>
    <t>39150000-8 Меблі та приспособи різні</t>
  </si>
  <si>
    <t>39180000-7 Лабораторні меблі</t>
  </si>
  <si>
    <t>39196410</t>
  </si>
  <si>
    <t>392/21</t>
  </si>
  <si>
    <t>39220000-0 Кухонне приладдя, товари для дому та господарства і приладдя для закладів громадського харчування</t>
  </si>
  <si>
    <t>39240000-6 Різальні інструменти</t>
  </si>
  <si>
    <t>39263391</t>
  </si>
  <si>
    <t>39290000-1 Фурнітура різна</t>
  </si>
  <si>
    <t>393/21</t>
  </si>
  <si>
    <t>39310000-8 Обладнання для закладів громадського харчування</t>
  </si>
  <si>
    <t>39315753</t>
  </si>
  <si>
    <t>39330000-4 Дезінфекційне обладнання</t>
  </si>
  <si>
    <t>39330111</t>
  </si>
  <si>
    <t>39340000-7 Обладнання для газових мереж</t>
  </si>
  <si>
    <t>39350000-0 Каналізаційне обладнання</t>
  </si>
  <si>
    <t>39376051</t>
  </si>
  <si>
    <t>394/21</t>
  </si>
  <si>
    <t>395/21</t>
  </si>
  <si>
    <t>39510000-0 Вироби домашнього текстилю</t>
  </si>
  <si>
    <t>39514400-2 Диспенсери для рушників</t>
  </si>
  <si>
    <t>39540000-9 Вироби різні з канату, мотузки, шпагату та сітки</t>
  </si>
  <si>
    <t>39594527</t>
  </si>
  <si>
    <t>396/21</t>
  </si>
  <si>
    <t>39624900</t>
  </si>
  <si>
    <t>39710000-2 Електричні побутові прилади</t>
  </si>
  <si>
    <t>398/21/НВ/403/21</t>
  </si>
  <si>
    <t>39807830</t>
  </si>
  <si>
    <t>39810000-3 Ароматизатори та воски</t>
  </si>
  <si>
    <t>39830000-9 Продукція для чищення</t>
  </si>
  <si>
    <t>399/21</t>
  </si>
  <si>
    <t>39c9efa0c7bf4a93ab7e54a9e2428050</t>
  </si>
  <si>
    <t>3a2810b7588444de8e06c7992178bba4</t>
  </si>
  <si>
    <t>3a2e3edbcc224be199e70066a53ef0bf</t>
  </si>
  <si>
    <t>3a42c37bd8fd45e384c028d98f2915a9</t>
  </si>
  <si>
    <t>3a62bef0ba954099982d551716d320dc</t>
  </si>
  <si>
    <t>3a89db00612d4f6e9266dff73acdf79c</t>
  </si>
  <si>
    <t>3aabcf1eccb449908d57763b097a793f</t>
  </si>
  <si>
    <t>3ae6f257224f4c9987d7a1223d571b39</t>
  </si>
  <si>
    <t>3af50a92685846a4baf64691eb988620</t>
  </si>
  <si>
    <t>3afe97bc9db84e1eb937416b213775d0</t>
  </si>
  <si>
    <t>3b3cf655970f41d19dcece0c540c0a2e</t>
  </si>
  <si>
    <t>3b424bd9953a4eeba66ad54f02b7b1c4</t>
  </si>
  <si>
    <t>3b82a0b3036540cd879fdad8bab3f61d</t>
  </si>
  <si>
    <t>3bce2b2c611e4b52a2339abd56ead700</t>
  </si>
  <si>
    <t>3c70da51d75c47fcb9189c3678670c36</t>
  </si>
  <si>
    <t>3c998ebcc55245edbff973361758d18e</t>
  </si>
  <si>
    <t>3cf140fed7794913b4af36d06bfb4a52</t>
  </si>
  <si>
    <t>3d0e7854298c43afa2977d2435c1522a</t>
  </si>
  <si>
    <t>3d168c8d34774063a928627bb32ffdf8</t>
  </si>
  <si>
    <t>3d1cffcab7c24d9cae5928a6018f28c5</t>
  </si>
  <si>
    <t>3d242f10d6674346bb5ba615c53b9304</t>
  </si>
  <si>
    <t>3de9a62352fd4d1e92b0a5e1751ef99e</t>
  </si>
  <si>
    <t>3df4df0815bb4045b6678d30365e2862</t>
  </si>
  <si>
    <t>3e539a5cb734403a8cd2cb9abcbe5ed0</t>
  </si>
  <si>
    <t>3e8d8aa4568c44a1b3cfb1b53e31a873</t>
  </si>
  <si>
    <t>3f9e6be8713b4fcba5ec4f442ed60c14</t>
  </si>
  <si>
    <t>3fee3d38222b452e8e22d0addf6e1b66</t>
  </si>
  <si>
    <t>4/01/2021/14/21</t>
  </si>
  <si>
    <t>4/03/2021/191/21</t>
  </si>
  <si>
    <t>4/09/2021/721/21</t>
  </si>
  <si>
    <t>4/258/21</t>
  </si>
  <si>
    <t>4/701/21</t>
  </si>
  <si>
    <t>40/21</t>
  </si>
  <si>
    <t>4009ca65f80c4706bf326a5c3d0b91c5</t>
  </si>
  <si>
    <t>401/21</t>
  </si>
  <si>
    <t>40108887</t>
  </si>
  <si>
    <t>40314889</t>
  </si>
  <si>
    <t>405/21</t>
  </si>
  <si>
    <t>40519f00597d4b0293b114228eeff9e0</t>
  </si>
  <si>
    <t>407/21</t>
  </si>
  <si>
    <t>407850941/304/21</t>
  </si>
  <si>
    <t>408/21</t>
  </si>
  <si>
    <t>408131794/305/21</t>
  </si>
  <si>
    <t>410/21</t>
  </si>
  <si>
    <t>41003474</t>
  </si>
  <si>
    <t>411/21</t>
  </si>
  <si>
    <t>412/21</t>
  </si>
  <si>
    <t>413/21</t>
  </si>
  <si>
    <t>414/21</t>
  </si>
  <si>
    <t>415/21</t>
  </si>
  <si>
    <t>41571077</t>
  </si>
  <si>
    <t>417/21</t>
  </si>
  <si>
    <t>41729935</t>
  </si>
  <si>
    <t>417793309/637/21</t>
  </si>
  <si>
    <t>41877886</t>
  </si>
  <si>
    <t>419/21</t>
  </si>
  <si>
    <t>41937138</t>
  </si>
  <si>
    <t>419f4634eadc419484aaf69e3022b369</t>
  </si>
  <si>
    <t>41СВ797-2118-21/79/21</t>
  </si>
  <si>
    <t>42/633/21</t>
  </si>
  <si>
    <t>420/21</t>
  </si>
  <si>
    <t>420387095/639/21</t>
  </si>
  <si>
    <t>4204d1be63cf4b13b8fa8fbbc3aeb04e</t>
  </si>
  <si>
    <t>42079261</t>
  </si>
  <si>
    <t>4207f01164464c36a45ff816a27c8320</t>
  </si>
  <si>
    <t>42092130</t>
  </si>
  <si>
    <t>421/21</t>
  </si>
  <si>
    <t>42111582</t>
  </si>
  <si>
    <t>42130000-9 Арматура трубопровідна: крани, вентилі, клапани та подібні пристрої</t>
  </si>
  <si>
    <t>42131000-6 Крани, вентилі та клапани</t>
  </si>
  <si>
    <t>42147b0d23e74640a8199c1d13e7bc88</t>
  </si>
  <si>
    <t>422/21</t>
  </si>
  <si>
    <t>42210926</t>
  </si>
  <si>
    <t>423/21</t>
  </si>
  <si>
    <t>4232273211fa4ec0849b7a0d8443424b</t>
  </si>
  <si>
    <t>4238/780/21</t>
  </si>
  <si>
    <t>424/21</t>
  </si>
  <si>
    <t>424/666/21</t>
  </si>
  <si>
    <t>425/21</t>
  </si>
  <si>
    <t>42520000-7 Вентиляційне обладнання</t>
  </si>
  <si>
    <t>42558a7d57ed4aac8efcb4b007fe1c1f</t>
  </si>
  <si>
    <t>426/21</t>
  </si>
  <si>
    <t>42670000-3 Частини та приладдя до верстатів</t>
  </si>
  <si>
    <t>42751474</t>
  </si>
  <si>
    <t>42808200</t>
  </si>
  <si>
    <t>42910000-8 Апарати для дистилювання, фільтрування чи ректифікації</t>
  </si>
  <si>
    <t>42960000-3 Системи керування та контролю, друкарське і графічне обладнання та обладнання для автоматизації офісу й обробки інформації</t>
  </si>
  <si>
    <t>42974592</t>
  </si>
  <si>
    <t>429b8c3e4fc7464ebbe2fe9e4959b19a</t>
  </si>
  <si>
    <t>430/21</t>
  </si>
  <si>
    <t>43028820</t>
  </si>
  <si>
    <t>430329461/808/21</t>
  </si>
  <si>
    <t>4309b6a764d844b3aa755af441f8c315</t>
  </si>
  <si>
    <t>431/21</t>
  </si>
  <si>
    <t>43185750</t>
  </si>
  <si>
    <t>432/21</t>
  </si>
  <si>
    <t>43213142</t>
  </si>
  <si>
    <t>4325e591afbd4a11b8821881c17357c7</t>
  </si>
  <si>
    <t>433/21</t>
  </si>
  <si>
    <t>434/21</t>
  </si>
  <si>
    <t>435/21</t>
  </si>
  <si>
    <t>43554851</t>
  </si>
  <si>
    <t>435cfb1f79d8433b98de55449808acb2</t>
  </si>
  <si>
    <t>436/21</t>
  </si>
  <si>
    <t>436/21НВ/537/21</t>
  </si>
  <si>
    <t>43603592</t>
  </si>
  <si>
    <t>438/21</t>
  </si>
  <si>
    <t>43808856</t>
  </si>
  <si>
    <t>43810000-4 Деревообробне обладнання</t>
  </si>
  <si>
    <t>43830000-0 Електричні інструменти</t>
  </si>
  <si>
    <t>43865055</t>
  </si>
  <si>
    <t>43891001</t>
  </si>
  <si>
    <t>43d90e222cc740b1bcc5b0131a3b03d3</t>
  </si>
  <si>
    <t>43e56cd78dee4b07afa45439cbf60465</t>
  </si>
  <si>
    <t>43ee19ae7a0a4ba9a61ed1d5fbc3d6a1</t>
  </si>
  <si>
    <t>43f4d3359aee487a8aa1e10fb7eb011b</t>
  </si>
  <si>
    <t>43fcdc78dbcd4695b5a029822f4b2e37</t>
  </si>
  <si>
    <t>44057763</t>
  </si>
  <si>
    <t>440733/212/21</t>
  </si>
  <si>
    <t>44110000-4 Конструкційні матеріали</t>
  </si>
  <si>
    <t>44112230-9 Лінолеум</t>
  </si>
  <si>
    <t>44160000-9 Магістралі, трубопроводи, труби, обсадні труби, тюбінги та супутні вироби</t>
  </si>
  <si>
    <t>44170000-2 Плити, листи, стрічки та фольга, пов’язані з конструкційними матеріалами</t>
  </si>
  <si>
    <t>44190000-8 Конструкційні матеріали різні</t>
  </si>
  <si>
    <t>442/21</t>
  </si>
  <si>
    <t>44220000-8 Столярні вироби</t>
  </si>
  <si>
    <t>443/21</t>
  </si>
  <si>
    <t>443/21/714/21</t>
  </si>
  <si>
    <t>44310000-6 Вироби з дроту</t>
  </si>
  <si>
    <t>44320000-9 Кабелі та супутня продукція</t>
  </si>
  <si>
    <t>44330000-2 Будівельні прути, стрижні, дроти та профілі</t>
  </si>
  <si>
    <t>44404443ccfc48e09934f56280e75e23</t>
  </si>
  <si>
    <t>44410000-7 Вироби для ванної кімнати та кухні</t>
  </si>
  <si>
    <t>44420000-0 Будівельні товари</t>
  </si>
  <si>
    <t>445/21</t>
  </si>
  <si>
    <t>44510000-8 Знаряддя</t>
  </si>
  <si>
    <t>44520000-1 Замки, ключі та петлі</t>
  </si>
  <si>
    <t>44530000-4 Кріпильні деталі</t>
  </si>
  <si>
    <t>44540000-7 Ланцюги</t>
  </si>
  <si>
    <t>446/21</t>
  </si>
  <si>
    <t>44610000-9 Цистерни, резервуари, контейнери та посудини високого тиску</t>
  </si>
  <si>
    <t>44612100-4 Балони для газу</t>
  </si>
  <si>
    <t>447/21</t>
  </si>
  <si>
    <t>44810000-1 Фарби</t>
  </si>
  <si>
    <t>44830000-7 Мастики, шпаклівки, замазки та розчинники</t>
  </si>
  <si>
    <t>44920000-5 Вапняк, гіпс і крейда</t>
  </si>
  <si>
    <t>45/855/21</t>
  </si>
  <si>
    <t>450/21</t>
  </si>
  <si>
    <t>4502/820/21</t>
  </si>
  <si>
    <t>4503/822/21</t>
  </si>
  <si>
    <t>4506/811/21</t>
  </si>
  <si>
    <t>451/21</t>
  </si>
  <si>
    <t>452/21</t>
  </si>
  <si>
    <t>453/21</t>
  </si>
  <si>
    <t>4532/821/21</t>
  </si>
  <si>
    <t>453fa11a760940548ce88098cb70a5b4</t>
  </si>
  <si>
    <t>454/21</t>
  </si>
  <si>
    <t>45450000-6 Інші завершальні будівельні роботи</t>
  </si>
  <si>
    <t>45a2ab9296eb4c93b50adc6c6ef9eca6</t>
  </si>
  <si>
    <t>4628/852/21</t>
  </si>
  <si>
    <t>465599788a7c4985a281771b6914c18d</t>
  </si>
  <si>
    <t>467/08-IE/709/21</t>
  </si>
  <si>
    <t>4678dd6df2a24cf69ce10a72e8e31b04</t>
  </si>
  <si>
    <t>46c279aea23c4ece99f989251e01d5c2</t>
  </si>
  <si>
    <t>4747618b5d674616b74736f5e57ae613</t>
  </si>
  <si>
    <t>476ca9bc4ccc4b059c37f842de4e4c81</t>
  </si>
  <si>
    <t>482/21</t>
  </si>
  <si>
    <t>483/21</t>
  </si>
  <si>
    <t>48310000-4 Пакети програмного забезпечення для створення документів</t>
  </si>
  <si>
    <t>484/21</t>
  </si>
  <si>
    <t>48463000-1 Пакети статистичного програмного забезпечення</t>
  </si>
  <si>
    <t>485/21</t>
  </si>
  <si>
    <t>48507d65ddeb41a183c72b941b59aa17</t>
  </si>
  <si>
    <t>4850a86fd11b4093841dd3fb9da154ab</t>
  </si>
  <si>
    <t>486/21</t>
  </si>
  <si>
    <t>4861ac8b93234661995833069efe3f03</t>
  </si>
  <si>
    <t>486e78fad2034035b93f469f8360ce0c</t>
  </si>
  <si>
    <t>487/21</t>
  </si>
  <si>
    <t>488/21</t>
  </si>
  <si>
    <t>48814400-1 Клінічні інформаційні системи</t>
  </si>
  <si>
    <t>489/21</t>
  </si>
  <si>
    <t>48ПТ-14951/21/884/21</t>
  </si>
  <si>
    <t>48ПТ-2635/21/259/21</t>
  </si>
  <si>
    <t>49/116/21</t>
  </si>
  <si>
    <t>490/21</t>
  </si>
  <si>
    <t>4907ee6708a74f9c89733be0c32020cd</t>
  </si>
  <si>
    <t>490d2b6d5d02415e8fcf136686fe00d3</t>
  </si>
  <si>
    <t>491/21</t>
  </si>
  <si>
    <t>492/21</t>
  </si>
  <si>
    <t>493/21</t>
  </si>
  <si>
    <t>495/21</t>
  </si>
  <si>
    <t>496/21</t>
  </si>
  <si>
    <t>497/21</t>
  </si>
  <si>
    <t>49782c9f8ce343b495c67fb50390bad4</t>
  </si>
  <si>
    <t>498/21</t>
  </si>
  <si>
    <t>499/21</t>
  </si>
  <si>
    <t>4abb239d2f384cf28d6eb505c3117438</t>
  </si>
  <si>
    <t>4b1e3e54b21c48fe8e0532c1f69aa343</t>
  </si>
  <si>
    <t>4b34a62ba20a4faabf6f1d287ee0c716</t>
  </si>
  <si>
    <t>4b998117079b40e58178c4b943ccadfe</t>
  </si>
  <si>
    <t>4bc550681d2b43d988d5e113cb86c0b7</t>
  </si>
  <si>
    <t>4bd6c78c065949e59106fc1c12fa18e5</t>
  </si>
  <si>
    <t>4c2e3c5e48c442a5ad5459f00a181574</t>
  </si>
  <si>
    <t>4c4c1bf335874d148532aed04fb54629</t>
  </si>
  <si>
    <t>4c5cd5879a34489488fbcb22c6153c13</t>
  </si>
  <si>
    <t>4cd5fe02ab514b4b85fde782c2564133</t>
  </si>
  <si>
    <t>4d1badaff42a45deac77fd369cf458b3</t>
  </si>
  <si>
    <t>4d2dc94b0387451693687f35e293dc31</t>
  </si>
  <si>
    <t>4d41684847b54774bb92328e1085fd9b</t>
  </si>
  <si>
    <t>4d68604ad563466da264874485f66f13</t>
  </si>
  <si>
    <t>4d8225c5ab174f0f85bc6f53b441f66e</t>
  </si>
  <si>
    <t>4d961127a8fa4b6abfb3472141a955d2</t>
  </si>
  <si>
    <t>4dd216a760984d848b01cd1a0a8e3b79</t>
  </si>
  <si>
    <t>4ecb83e34aea401c83e9a1cf5211c95c</t>
  </si>
  <si>
    <t>4f074c71218e4d45bda08942192b9bf2</t>
  </si>
  <si>
    <t>4fcacd774c8c44a2959693048e15466c</t>
  </si>
  <si>
    <t>4fce8fc49764429aa3989bd060c54248</t>
  </si>
  <si>
    <t>4fdaa59b2f9e4012a9301778b616d55c</t>
  </si>
  <si>
    <t>4fde5d5a01dc45e79dc2faff7d7ff5ad</t>
  </si>
  <si>
    <t>5 ДЕРЖАВНА ПОЖЕЖНО-РЯТУВАЛЬНА ЧАСТИНА ГОЛОВНОГО  УПРАВЛІННЯ ДЕРЖАВНОЇ СЛУЖБИ УКРАЇНИ З НАДЗВИЧАЙНИХ СИТУАЦІЙ У ЛЬВІВСЬКІЙ ОБЛАСТІ</t>
  </si>
  <si>
    <t>5/01/2021/15/21</t>
  </si>
  <si>
    <t>5/03/2021</t>
  </si>
  <si>
    <t>5/09/2021/722/21</t>
  </si>
  <si>
    <t>5/292/21</t>
  </si>
  <si>
    <t>50/117/21</t>
  </si>
  <si>
    <t>500/21</t>
  </si>
  <si>
    <t>5001/730/21</t>
  </si>
  <si>
    <t>501/21</t>
  </si>
  <si>
    <t>50110000-9 Послуги з ремонту і технічного обслуговування мототранспортних засобів і супутнього обладнання</t>
  </si>
  <si>
    <t>50112000-3 Послуги з ремонту і технічного обслуговування автомобілів</t>
  </si>
  <si>
    <t>501e2ac9b6e04558a5a7e546e0beb361</t>
  </si>
  <si>
    <t>502/21</t>
  </si>
  <si>
    <t>503/21</t>
  </si>
  <si>
    <t>50310000-1 Технічне обслуговування і ремонт офісної техніки</t>
  </si>
  <si>
    <t>50410000-2 Послуги з ремонту і технічного обслуговування вимірювальних, випробувальних і контрольних приладів</t>
  </si>
  <si>
    <t>50420000-5 Послуги з ремонту і технічного обслуговування медичного та хірургічного обладнання</t>
  </si>
  <si>
    <t>504e1f33a9ef46ceab4ac837ea26d801</t>
  </si>
  <si>
    <t>504eb43c7a1f4198bd9612c618ac9793</t>
  </si>
  <si>
    <t>50514200-3 Послуги з ремонту і технічного обслуговування резервуарів</t>
  </si>
  <si>
    <t>50530000-9 Послуги з ремонту і технічного обслуговування техніки</t>
  </si>
  <si>
    <t>506/21</t>
  </si>
  <si>
    <t>507/21</t>
  </si>
  <si>
    <t>507019953c82461a87106e711fb711dc</t>
  </si>
  <si>
    <t>50750000-7 Послуги з технічного обслуговування ліфтів</t>
  </si>
  <si>
    <t>508/21</t>
  </si>
  <si>
    <t>50800000-3 Послуги з різних видів ремонту і технічного обслуговування</t>
  </si>
  <si>
    <t>50850000-8 Послуги з ремонту і технічного обслуговування меблів</t>
  </si>
  <si>
    <t>509/21</t>
  </si>
  <si>
    <t>51/118/21</t>
  </si>
  <si>
    <t>51/21</t>
  </si>
  <si>
    <t>510/21</t>
  </si>
  <si>
    <t>510504b637d54eff9da926a7c99cc74b</t>
  </si>
  <si>
    <t>512/21</t>
  </si>
  <si>
    <t>5120b4ce547e4c18adce46c5d6273052</t>
  </si>
  <si>
    <t>512950d8f71a4876b3a9c9102acd04c1</t>
  </si>
  <si>
    <t>51310000-8 Послуги зі встановлення радіо-, телевізійної, аудіо- та відеоапаратури</t>
  </si>
  <si>
    <t>513b8365cf04495b904227c196c939d3</t>
  </si>
  <si>
    <t>514/21</t>
  </si>
  <si>
    <t>51410000-9 Послуги зі встановлення медичного обладнання</t>
  </si>
  <si>
    <t>515/21</t>
  </si>
  <si>
    <t>518/21</t>
  </si>
  <si>
    <t>51a40d576a2a414bbd93a74b1e4fe872</t>
  </si>
  <si>
    <t>51a889996ef14ca3a5a204b1ce6467c5</t>
  </si>
  <si>
    <t>51ab71e60c83481b8bd48acfe107597d</t>
  </si>
  <si>
    <t>51b3ce2d3ab84e37a32566dda2174950</t>
  </si>
  <si>
    <t>51d8e4071bed492ab87573a85633f767</t>
  </si>
  <si>
    <t>51efcedc163c4df8b4e1f1ef19cb2766</t>
  </si>
  <si>
    <t>52/119/21</t>
  </si>
  <si>
    <t>52/21</t>
  </si>
  <si>
    <t>520/21</t>
  </si>
  <si>
    <t>521/21</t>
  </si>
  <si>
    <t>522/21</t>
  </si>
  <si>
    <t>5226a9f735f24b64a8e2505001c5eeab</t>
  </si>
  <si>
    <t>523/21</t>
  </si>
  <si>
    <t>523/781/24</t>
  </si>
  <si>
    <t>523e3a1fae1540c68a0ad701803d1510</t>
  </si>
  <si>
    <t>524/21</t>
  </si>
  <si>
    <t>526/21</t>
  </si>
  <si>
    <t>527/21</t>
  </si>
  <si>
    <t>52d16505442a40048d8176e4c7cf3627</t>
  </si>
  <si>
    <t>53/120/21</t>
  </si>
  <si>
    <t>53/21</t>
  </si>
  <si>
    <t>5307d9fa4598498289a0e98f4e6f75ef</t>
  </si>
  <si>
    <t>5309ccfe27f34e9a969e9a6e4feab13c</t>
  </si>
  <si>
    <t>53595d96b2e24c1bb09058c53f6d0cff</t>
  </si>
  <si>
    <t>535a46d702fe495a875d31b0b9245df2</t>
  </si>
  <si>
    <t>53669f9fc06a4ae1b3deed37753a389a</t>
  </si>
  <si>
    <t>538/21</t>
  </si>
  <si>
    <t>539/21</t>
  </si>
  <si>
    <t>53bc79c50ccc48a78faa5fc8f942b337</t>
  </si>
  <si>
    <t>54/21</t>
  </si>
  <si>
    <t>54/291/21</t>
  </si>
  <si>
    <t>540/21</t>
  </si>
  <si>
    <t>543-18/108/21</t>
  </si>
  <si>
    <t>543/21</t>
  </si>
  <si>
    <t>544-18/109/21</t>
  </si>
  <si>
    <t>545/21</t>
  </si>
  <si>
    <t>546/21</t>
  </si>
  <si>
    <t>5466ce9446ec4b7f9630f63b23846b84</t>
  </si>
  <si>
    <t>547/005/561/21</t>
  </si>
  <si>
    <t>547/21</t>
  </si>
  <si>
    <t>548/21</t>
  </si>
  <si>
    <t>548/670/21</t>
  </si>
  <si>
    <t>5480e21a03d7450b99e5b4f6655c24dd</t>
  </si>
  <si>
    <t>549/21</t>
  </si>
  <si>
    <t>549/672/21</t>
  </si>
  <si>
    <t>550/21</t>
  </si>
  <si>
    <t>550ЛВ/461/21</t>
  </si>
  <si>
    <t>551/21</t>
  </si>
  <si>
    <t>552/21</t>
  </si>
  <si>
    <t>552075b5130845f4aeb85155d54eaf77</t>
  </si>
  <si>
    <t>556/21</t>
  </si>
  <si>
    <t>557/21</t>
  </si>
  <si>
    <t>558/21</t>
  </si>
  <si>
    <t>559/21</t>
  </si>
  <si>
    <t>560/21</t>
  </si>
  <si>
    <t>562/21</t>
  </si>
  <si>
    <t>563/21</t>
  </si>
  <si>
    <t>564/21</t>
  </si>
  <si>
    <t>569/21</t>
  </si>
  <si>
    <t>569dc2690eb84b3bb862bfb0468d7e42</t>
  </si>
  <si>
    <t>56d930fd2da0402887b1de731e0700cf</t>
  </si>
  <si>
    <t>56e22e0559854d9995a3520026249ff0</t>
  </si>
  <si>
    <t>56f9345332c24dc3a0b6e07e0e612bf6</t>
  </si>
  <si>
    <t>571cea2300c24b5a9c61b43c664fdca4</t>
  </si>
  <si>
    <t>574/21</t>
  </si>
  <si>
    <t>574c0171eda04e0ea790aadad7c2f28e</t>
  </si>
  <si>
    <t>575/21</t>
  </si>
  <si>
    <t>577/21</t>
  </si>
  <si>
    <t>5777c91f93d74da49b0b49fc23a7cd29</t>
  </si>
  <si>
    <t>578/21</t>
  </si>
  <si>
    <t>579/21</t>
  </si>
  <si>
    <t>58/199/21</t>
  </si>
  <si>
    <t>581/21</t>
  </si>
  <si>
    <t>58127017fe274e80be82b902d319319b</t>
  </si>
  <si>
    <t>587/21</t>
  </si>
  <si>
    <t>588/21</t>
  </si>
  <si>
    <t>589/21</t>
  </si>
  <si>
    <t>58b0d1b333004d62840861ca7c105f76</t>
  </si>
  <si>
    <t>58f3907f99da4c0684ca83ed07e43597</t>
  </si>
  <si>
    <t>593/21</t>
  </si>
  <si>
    <t>594/21</t>
  </si>
  <si>
    <t>5940bef613474fbc9948c969ae6c248a</t>
  </si>
  <si>
    <t>59583c9323b6430eb204a5b1e1e44cac</t>
  </si>
  <si>
    <t>596/21</t>
  </si>
  <si>
    <t>597/21</t>
  </si>
  <si>
    <t>598/21</t>
  </si>
  <si>
    <t>599/21</t>
  </si>
  <si>
    <t>59c29f252d8a445b9dc58ea331a1d4db</t>
  </si>
  <si>
    <t>5a4a7af992644615b9fd261098f5c860</t>
  </si>
  <si>
    <t>5ab05dc54ef24cf9bd882b9a0899cd44</t>
  </si>
  <si>
    <t>5af5d439aca74ffda3767181a7f460a6</t>
  </si>
  <si>
    <t>5b5a24fde63747c4864a06ab5ab3e5cd</t>
  </si>
  <si>
    <t>5b8d551c0d274f52a474cf3a677a5035</t>
  </si>
  <si>
    <t>5c102e0658e94b4491b94fd3962758cf</t>
  </si>
  <si>
    <t>5c1ce1f1fb63495cba7618ce22672bbb</t>
  </si>
  <si>
    <t>5c5a3e7d6ee04ff4be5f8aabcbd6ae25</t>
  </si>
  <si>
    <t>5cd2df74a5e344f2b90940e2004bd540</t>
  </si>
  <si>
    <t>5ce1547028fd4fac881274a59f508ebf</t>
  </si>
  <si>
    <t>5dc01d4b2b4c4eb8ac34758359bd0b55</t>
  </si>
  <si>
    <t>5dec05e0866b4c55bb888d6cd6b47494</t>
  </si>
  <si>
    <t>5e072c21a98948b299db6b49fe65e9c3</t>
  </si>
  <si>
    <t>5e8a0dad3567481b8ac0b8f168135304</t>
  </si>
  <si>
    <t>5e8c225d90524b3189eaa3e95d8a41fa</t>
  </si>
  <si>
    <t>5e8f68392768405885e924822678cfab</t>
  </si>
  <si>
    <t>5ea5fed5f9b647cab36226942916b1e0</t>
  </si>
  <si>
    <t>5eced830c4da43479748373f702f904f</t>
  </si>
  <si>
    <t>5ed929f265ac42b9a9139d0ad8890c21</t>
  </si>
  <si>
    <t>5fda2297bd494c83beb734f75826ebb6</t>
  </si>
  <si>
    <t>6/01/2021/16/21</t>
  </si>
  <si>
    <t>6/03/2021/193/21</t>
  </si>
  <si>
    <t>6/06/2021/592/21</t>
  </si>
  <si>
    <t>6/09/2021/723/21</t>
  </si>
  <si>
    <t>6/37/21</t>
  </si>
  <si>
    <t>600/21</t>
  </si>
  <si>
    <t>6000be1165524847b4172d471d33f773</t>
  </si>
  <si>
    <t>601/21</t>
  </si>
  <si>
    <t>60100000-9 Послуги з автомобільних перевезень</t>
  </si>
  <si>
    <t>60180000-3 Прокат вантажних транспортних засобів із водієм для перевезення товарів</t>
  </si>
  <si>
    <t>602/21</t>
  </si>
  <si>
    <t>60254ba8ccf141a48330246e76533b3a</t>
  </si>
  <si>
    <t>60c997b195bd4be999c3f667460ef292</t>
  </si>
  <si>
    <t>61072ed679af4ca7ae788542364aa988</t>
  </si>
  <si>
    <t>614a7a29865c4275bc20270e29a490f4</t>
  </si>
  <si>
    <t>617a09fbdcee4a5bb8c07b92cb80188e</t>
  </si>
  <si>
    <t>61b7366581c146c787fe6aeb70e0f977</t>
  </si>
  <si>
    <t>61df86a94e9949fd94a370a46f8a48e9</t>
  </si>
  <si>
    <t>62-01/2021/9/21</t>
  </si>
  <si>
    <t>6250e2d2a2b443258c92272451042a88</t>
  </si>
  <si>
    <t>628/21</t>
  </si>
  <si>
    <t>6280e77fdf764f3c8f56ac885ab1f42b</t>
  </si>
  <si>
    <t>6282b935633d4424992ad01942f9b5db</t>
  </si>
  <si>
    <t>62adb5c1f6fb42c9a0bb7c909c2000fb</t>
  </si>
  <si>
    <t>62c4d551c54b413ba1667a7b32e98f30</t>
  </si>
  <si>
    <t>63/21</t>
  </si>
  <si>
    <t>6300-12/768/21</t>
  </si>
  <si>
    <t>630516be4657443b9e321a40b02b1f32</t>
  </si>
  <si>
    <t>631/21</t>
  </si>
  <si>
    <t>634/21</t>
  </si>
  <si>
    <t>63a358d5ca5b4a50a1efc705417eddcf</t>
  </si>
  <si>
    <t>63bd1ba6577648a29c39d92d7ad2c4de</t>
  </si>
  <si>
    <t>64/21</t>
  </si>
  <si>
    <t>640/21</t>
  </si>
  <si>
    <t>641/21</t>
  </si>
  <si>
    <t>6416772d8eba4d00a9a173102b29b06d</t>
  </si>
  <si>
    <t>64200000-8 Телекомунікаційні послуги</t>
  </si>
  <si>
    <t>643/21</t>
  </si>
  <si>
    <t>643ce1015c1e482ab3c7c0d1afd5db79</t>
  </si>
  <si>
    <t>6458dea4b4af40cea9e7d64296bc69d2</t>
  </si>
  <si>
    <t>648/21</t>
  </si>
  <si>
    <t>6488e1bd104341d78d43c16c1b5f1c17</t>
  </si>
  <si>
    <t>648e67c9b7cd4dd1b84d6779c36c6470</t>
  </si>
  <si>
    <t>65/21</t>
  </si>
  <si>
    <t>650/21</t>
  </si>
  <si>
    <t>6504251fb4b24ae3b1c4be4bc515bf11</t>
  </si>
  <si>
    <t>6510af4d07bc4dc6bbe62d1ccbdedaf5</t>
  </si>
  <si>
    <t>65110000-7 Розподіл води</t>
  </si>
  <si>
    <t>65210000-8 Розподіл газу</t>
  </si>
  <si>
    <t>653/21</t>
  </si>
  <si>
    <t>65310000-9 Розподіл електричної енергії</t>
  </si>
  <si>
    <t>654/21</t>
  </si>
  <si>
    <t>655/21</t>
  </si>
  <si>
    <t>655a8501cea644d0ba05cbcbd16ec7e7</t>
  </si>
  <si>
    <t>66/21</t>
  </si>
  <si>
    <t>660b1f3623db464582648654e17ee076</t>
  </si>
  <si>
    <t>661/21</t>
  </si>
  <si>
    <t>665/21</t>
  </si>
  <si>
    <t>66514110-0 Послуги зі страхування транспортних засобів</t>
  </si>
  <si>
    <t>665c0023dbb046c5a16e6f7e492ac216</t>
  </si>
  <si>
    <t>668/21</t>
  </si>
  <si>
    <t>66883d8e0d9445269aaa5ebb4c92ed97</t>
  </si>
  <si>
    <t>669/21</t>
  </si>
  <si>
    <t>66eeabcdc5a345bfaa6d09d655eceed6</t>
  </si>
  <si>
    <t>67/21</t>
  </si>
  <si>
    <t>671/21/3</t>
  </si>
  <si>
    <t>6718199265bb49a7ba065c8acd41cbbc</t>
  </si>
  <si>
    <t>673/21</t>
  </si>
  <si>
    <t>673f9eb156a247daa6e62261996ed5a8</t>
  </si>
  <si>
    <t>675/21</t>
  </si>
  <si>
    <t>677/21</t>
  </si>
  <si>
    <t>678/21</t>
  </si>
  <si>
    <t>678eb75128ea40efaf007633a3d3119d</t>
  </si>
  <si>
    <t>679/21</t>
  </si>
  <si>
    <t>68/21</t>
  </si>
  <si>
    <t>68/409/21</t>
  </si>
  <si>
    <t>680/21</t>
  </si>
  <si>
    <t>681/21</t>
  </si>
  <si>
    <t>682/21</t>
  </si>
  <si>
    <t>683/21</t>
  </si>
  <si>
    <t>684/21</t>
  </si>
  <si>
    <t>684c213816c74d3eb9f5ee7166940465</t>
  </si>
  <si>
    <t>685/21</t>
  </si>
  <si>
    <t>68865fd84b044befa33a60e5659185e5</t>
  </si>
  <si>
    <t>68cdeb003cad4268ab7f7cb08c241121</t>
  </si>
  <si>
    <t>69/21</t>
  </si>
  <si>
    <t>69463899064a45e098555d7841a25760</t>
  </si>
  <si>
    <t>695/21</t>
  </si>
  <si>
    <t>69ce62c2f4da4a8f8d64eb22167b6ef5</t>
  </si>
  <si>
    <t>69f15bc7b06b4f658b3f3a1e15805616</t>
  </si>
  <si>
    <t>6a642f2d63ec4114be72b918bce54db6</t>
  </si>
  <si>
    <t>6ad96f405ead455d855609666304685a</t>
  </si>
  <si>
    <t>6affb041672d40c2bd2ad7da14076daf</t>
  </si>
  <si>
    <t>6b31ea1e22c043819d18d324a4e63ddf</t>
  </si>
  <si>
    <t>6b3d07499c3c465692a00eeed05f1a51</t>
  </si>
  <si>
    <t>6b4707179d9f4956ae3fcf1f7a9e682e</t>
  </si>
  <si>
    <t>6b5d7f5443034d20b9d5e9cf35c265a2</t>
  </si>
  <si>
    <t>6b75b865965b4a828dc2b3d8c0f90f76</t>
  </si>
  <si>
    <t>6b91810ab0de40979b382d57db81c280</t>
  </si>
  <si>
    <t>6bbd93796e1a4fc1b71abfda09717d12</t>
  </si>
  <si>
    <t>6c030a14a7fe4f12b91ddbaf693efa84</t>
  </si>
  <si>
    <t>6c1b4b503a674e6eb133a32fe8c573df</t>
  </si>
  <si>
    <t>6c8cb6b08b1346a397a9e69bbe9ed542</t>
  </si>
  <si>
    <t>6cb65ca16a4c45ba83a3f60afd504216</t>
  </si>
  <si>
    <t>6d6df4538d60494f8859b0cbcb36fe27</t>
  </si>
  <si>
    <t>6dac1e9d26334de99e7249a3538a8c7e</t>
  </si>
  <si>
    <t>6e6b1892057f4e0d8caf337958221fac</t>
  </si>
  <si>
    <t>6e70fa3a904a41c58407a8ca27a10599</t>
  </si>
  <si>
    <t>6eb02802d46d476789f745d0a653dd8c</t>
  </si>
  <si>
    <t>6ed3a97a38db45c3821b723f9bb90442</t>
  </si>
  <si>
    <t>6edcf456de9d4f5f8027942d28f78186</t>
  </si>
  <si>
    <t>6efdcad1dc094362b14f8db4cbc69c96</t>
  </si>
  <si>
    <t>6f054d2bf22b4896b8cdda3309a5fd6e</t>
  </si>
  <si>
    <t>6f09eab0ef3640ddb92c0b5f4d409287</t>
  </si>
  <si>
    <t>6f3242a947e24ada9f32e07564785c89</t>
  </si>
  <si>
    <t>6f72d556ccaf491fa0449037b9f475ff</t>
  </si>
  <si>
    <t>6ff7d8f9c495473f8c15582324528a0f</t>
  </si>
  <si>
    <t>7/01/2021/17/21</t>
  </si>
  <si>
    <t>7/03/2021/194/21</t>
  </si>
  <si>
    <t>7/09/2021/724/21</t>
  </si>
  <si>
    <t>7/21</t>
  </si>
  <si>
    <t>7/398/21</t>
  </si>
  <si>
    <t>70/21</t>
  </si>
  <si>
    <t>700/21</t>
  </si>
  <si>
    <t>702/21</t>
  </si>
  <si>
    <t>703/21</t>
  </si>
  <si>
    <t>704/21</t>
  </si>
  <si>
    <t>705/21</t>
  </si>
  <si>
    <t>70b2c2af8b4542ec8f85ec2a32d205a3</t>
  </si>
  <si>
    <t>70b622c6bea64470b4734f228e95f2dd</t>
  </si>
  <si>
    <t>710153e0111841c085421f664ff51fa8</t>
  </si>
  <si>
    <t>712/21</t>
  </si>
  <si>
    <t>71240000-2 Архітектурні, інженерні та планувальні послуги</t>
  </si>
  <si>
    <t>71250000-5 Архітектурні, інженерні та геодезичні послуги</t>
  </si>
  <si>
    <t>713/21</t>
  </si>
  <si>
    <t>71310000-4 Консультаційні послуги у галузях інженерії та будівництва</t>
  </si>
  <si>
    <t>71319000-7 Експертні послуги</t>
  </si>
  <si>
    <t>71320000-7 Послуги з інженерного проектування</t>
  </si>
  <si>
    <t>71322000-1 Послуги з інженерного проектування в галузі цивільного будівництва</t>
  </si>
  <si>
    <t>71330000-0 Інженерні послуги різні</t>
  </si>
  <si>
    <t>71340000-3 Комплексні інженерні послуги</t>
  </si>
  <si>
    <t>71520000-9 Послуги з нагляду за виконанням будівельних робіт</t>
  </si>
  <si>
    <t>71530000-2 Консультаційні послуги в галузі будівництва</t>
  </si>
  <si>
    <t>716/21</t>
  </si>
  <si>
    <t>71630000-3 Послуги з технічного огляду та випробовувань</t>
  </si>
  <si>
    <t>717/21</t>
  </si>
  <si>
    <t>71791f137e9e43718d2657d23af82bb0</t>
  </si>
  <si>
    <t>71e41fcf1d1b43b3bb407b24adc14d37</t>
  </si>
  <si>
    <t>72/21</t>
  </si>
  <si>
    <t>7200bc4bc9e94cf4ba1c2ce9e0308c97</t>
  </si>
  <si>
    <t>72243000-0 Послуги з програмування</t>
  </si>
  <si>
    <t>72250000-2 Послуги, пов’язані із системами та підтримкою</t>
  </si>
  <si>
    <t>72260000-5 Послуги, пов’язані з програмним забезпеченням</t>
  </si>
  <si>
    <t>72267100-0 Обслуговування програмного забезпечення</t>
  </si>
  <si>
    <t>72710000-0 Послуги у сфері локальних мереж</t>
  </si>
  <si>
    <t>72733f3fdfb24814a007897865365bd1</t>
  </si>
  <si>
    <t>72aadd9b084640b2927cd644d8a5b4fa</t>
  </si>
  <si>
    <t>72e87f2bd1c146b2aa49be211e1ced13</t>
  </si>
  <si>
    <t>730/21</t>
  </si>
  <si>
    <t>731/21</t>
  </si>
  <si>
    <t>735/21</t>
  </si>
  <si>
    <t>736b0d79067a42cda26395374f18496c</t>
  </si>
  <si>
    <t>73a34a7484c241dba613ecdc9ccf3e86</t>
  </si>
  <si>
    <t>73b9f65051454b8ca418648e2d75b34d</t>
  </si>
  <si>
    <t>73ec4bbfcb1d40cabd0920bd19e16c7f</t>
  </si>
  <si>
    <t>73f8681142ba4826a87cced8cbdb877d</t>
  </si>
  <si>
    <t>742/21</t>
  </si>
  <si>
    <t>743/21</t>
  </si>
  <si>
    <t>744/21</t>
  </si>
  <si>
    <t>745/21</t>
  </si>
  <si>
    <t>746/21</t>
  </si>
  <si>
    <t>747/21</t>
  </si>
  <si>
    <t>749/21</t>
  </si>
  <si>
    <t>74a8376bdbc74b3994042aaca601d2c6</t>
  </si>
  <si>
    <t>74ceb1f826764500975e150ad472ea21</t>
  </si>
  <si>
    <t>74fc1b4cbde943fea57e8b920e911723</t>
  </si>
  <si>
    <t>75/21</t>
  </si>
  <si>
    <t>750/21</t>
  </si>
  <si>
    <t>751/21</t>
  </si>
  <si>
    <t>751a54b49a8c4d188f9dfb219334f525</t>
  </si>
  <si>
    <t>752/21</t>
  </si>
  <si>
    <t>75250000-3 Послуги пожежних і рятувальних служб</t>
  </si>
  <si>
    <t>753/21</t>
  </si>
  <si>
    <t>754/21</t>
  </si>
  <si>
    <t>757aefd7ed9145eda7980507641788d7</t>
  </si>
  <si>
    <t>75a6d01271c848eab390d342a334868b</t>
  </si>
  <si>
    <t>75fd299f00144a92b9632d379c584d01</t>
  </si>
  <si>
    <t>76/21</t>
  </si>
  <si>
    <t>762/21</t>
  </si>
  <si>
    <t>763/21</t>
  </si>
  <si>
    <t>7637242a333042cd91b5374e48f290a2</t>
  </si>
  <si>
    <t>766/21</t>
  </si>
  <si>
    <t>769/21</t>
  </si>
  <si>
    <t>7694fb80c43c4ac5b714dae0dfce64bf</t>
  </si>
  <si>
    <t>77/21</t>
  </si>
  <si>
    <t>770/21</t>
  </si>
  <si>
    <t>771/21</t>
  </si>
  <si>
    <t>772/21</t>
  </si>
  <si>
    <t>773/21</t>
  </si>
  <si>
    <t>774/21</t>
  </si>
  <si>
    <t>774ff39cea2841d5bc10f1a3202d07fb</t>
  </si>
  <si>
    <t>775/21</t>
  </si>
  <si>
    <t>776/21</t>
  </si>
  <si>
    <t>779/21</t>
  </si>
  <si>
    <t>77c89382a0dd415992d1c8a19e421df0</t>
  </si>
  <si>
    <t>78/21</t>
  </si>
  <si>
    <t>783/21</t>
  </si>
  <si>
    <t>784/21</t>
  </si>
  <si>
    <t>785/21</t>
  </si>
  <si>
    <t>786/21</t>
  </si>
  <si>
    <t>787/21</t>
  </si>
  <si>
    <t>78744d114a544bcba1804c0011f3dcee</t>
  </si>
  <si>
    <t>788/21</t>
  </si>
  <si>
    <t>789/21</t>
  </si>
  <si>
    <t>78a7c85cfab2410daa05089bcbed7300</t>
  </si>
  <si>
    <t>78bb6bf3cec546b395db15f4d4a578ec</t>
  </si>
  <si>
    <t>78e99455ec50403b998b7ce7b7b7c237</t>
  </si>
  <si>
    <t>78ea0c09fdf14b7ba8d53fda74505cc1</t>
  </si>
  <si>
    <t>79210000-9 Бухгалтерські та аудиторські послуги</t>
  </si>
  <si>
    <t>796/21</t>
  </si>
  <si>
    <t>797/21</t>
  </si>
  <si>
    <t>79713000-5 Послуги з охорони об’єктів та особистої охорони</t>
  </si>
  <si>
    <t>798/21</t>
  </si>
  <si>
    <t>79820000-8 Послуги, пов’язані з друком</t>
  </si>
  <si>
    <t>799/21</t>
  </si>
  <si>
    <t>7a3237f83be8401595f7db4623fb0a5c</t>
  </si>
  <si>
    <t>7a38f9bc9c3048e9a6c592b080fb3265</t>
  </si>
  <si>
    <t>7a57792147a44adea7be79d7d27b0271</t>
  </si>
  <si>
    <t>7ad907a49cc34443b9bc6e2673e52fc5</t>
  </si>
  <si>
    <t>7ae5dd73b6ef4bdda2fad2ef6442d9ac</t>
  </si>
  <si>
    <t>7b5733a7c30348a7afde6ad17d503c4f</t>
  </si>
  <si>
    <t>7b7539e102ab44ae983ace7e50c8d7c0</t>
  </si>
  <si>
    <t>7b7c0ec113e94a77854a9f2caaec1890</t>
  </si>
  <si>
    <t>7b8f94dc5da648a2970f30646e9b5786</t>
  </si>
  <si>
    <t>7b90cc44a10241b28c2df96099109b3f</t>
  </si>
  <si>
    <t>7be22e2065ef465b81c451727278f7be</t>
  </si>
  <si>
    <t>7c4ef28dcd31485a96bbd5c9233446db</t>
  </si>
  <si>
    <t>7c7451dd9d8c407b88b5c7ee8f36472a</t>
  </si>
  <si>
    <t>7ca37e12a64e4054b34df771e78f6282</t>
  </si>
  <si>
    <t>7ce0e91eaeec4f83a36c7d3575eaffe6</t>
  </si>
  <si>
    <t>7cf0dee76200492386b116aed5e49ba7</t>
  </si>
  <si>
    <t>7d476d4125fd4e9f9656d4411cc396aa</t>
  </si>
  <si>
    <t>7da019cb5ec14245b9c83582d68f2949</t>
  </si>
  <si>
    <t>7daef121baf74aeb8810caca7c0bf501</t>
  </si>
  <si>
    <t>7db4c0d2186446839bd125d65f6902c0</t>
  </si>
  <si>
    <t>7dd977ab4b884513948b38e5c92c59cf</t>
  </si>
  <si>
    <t>7e60fa891b674d1691df14b2acadfcb1</t>
  </si>
  <si>
    <t>7e6cb7f0b5a14b9ebc1b381c99a5ea07</t>
  </si>
  <si>
    <t>7eb9276b35344fb8b4ac554925f37dc9</t>
  </si>
  <si>
    <t>7f554d6d9efc4e8eaba87341caad3d94</t>
  </si>
  <si>
    <t>8/01/2021/18/21</t>
  </si>
  <si>
    <t>8/03/2021/195/21</t>
  </si>
  <si>
    <t>8/09/2021/725/21</t>
  </si>
  <si>
    <t>8/10/21</t>
  </si>
  <si>
    <t>8/21</t>
  </si>
  <si>
    <t>8/55/21</t>
  </si>
  <si>
    <t>80/202/21</t>
  </si>
  <si>
    <t>80/21</t>
  </si>
  <si>
    <t>800/21</t>
  </si>
  <si>
    <t>802/21</t>
  </si>
  <si>
    <t>803/21</t>
  </si>
  <si>
    <t>80320000-3 Послуги у сфері медичної освіти</t>
  </si>
  <si>
    <t>804/21</t>
  </si>
  <si>
    <t>805/21</t>
  </si>
  <si>
    <t>80510000-2 Послуги з професійної підготовки спеціалістів</t>
  </si>
  <si>
    <t>80520000-5 Навчальні засоби</t>
  </si>
  <si>
    <t>80522000-9 Навчальні семінари</t>
  </si>
  <si>
    <t>80530000-8 Послуги у сфері професійної підготовки</t>
  </si>
  <si>
    <t>80550000-4 Послуги з професійної підготовки у сфері безпеки</t>
  </si>
  <si>
    <t>80560000-7 Послуги з професійної підготовки у сфері охорони здоров’я та надання першої медичної допомоги</t>
  </si>
  <si>
    <t>805bd55ae0b348038a17c237e26fbae5</t>
  </si>
  <si>
    <t>806/21</t>
  </si>
  <si>
    <t>807/21</t>
  </si>
  <si>
    <t>809/21</t>
  </si>
  <si>
    <t>80d7b78bd9dc4c9da54dac4763f67672</t>
  </si>
  <si>
    <t>81/204/21</t>
  </si>
  <si>
    <t>810/21</t>
  </si>
  <si>
    <t>812/21</t>
  </si>
  <si>
    <t>813e812c3cc843c59c42e007337b250c</t>
  </si>
  <si>
    <t>814/21</t>
  </si>
  <si>
    <t>815/21</t>
  </si>
  <si>
    <t>816/21</t>
  </si>
  <si>
    <t>817/21</t>
  </si>
  <si>
    <t>818/21</t>
  </si>
  <si>
    <t>818/М/880/21</t>
  </si>
  <si>
    <t>818713cd5eeb4d6098ebaab1e7513b05</t>
  </si>
  <si>
    <t>819/21/з</t>
  </si>
  <si>
    <t>81a9520f4fa9452692a390ff1435770b</t>
  </si>
  <si>
    <t>81ad4796e7e6415ca9aff8fade832cf3</t>
  </si>
  <si>
    <t>81f0e3574a04457982eeb821704250ce</t>
  </si>
  <si>
    <t>81fc4d56471e4ac7b19db5da396c3c4d</t>
  </si>
  <si>
    <t>82/203/21</t>
  </si>
  <si>
    <t>82/21</t>
  </si>
  <si>
    <t>827/21</t>
  </si>
  <si>
    <t>828/21</t>
  </si>
  <si>
    <t>82ce1cb35bca41afa94f0593515c2903</t>
  </si>
  <si>
    <t>83/205/21</t>
  </si>
  <si>
    <t>83/21</t>
  </si>
  <si>
    <t>830/21</t>
  </si>
  <si>
    <t>830d06a17f734ddb8c90cafd404164ce</t>
  </si>
  <si>
    <t>832/21</t>
  </si>
  <si>
    <t>833/21</t>
  </si>
  <si>
    <t>83657ed695f6482dbd3038d86273ed3f</t>
  </si>
  <si>
    <t>837aa3c65e414f3996ffa54d0526b73d</t>
  </si>
  <si>
    <t>838/21</t>
  </si>
  <si>
    <t>839/21</t>
  </si>
  <si>
    <t>83ec56b86d35438aa9572ebea8b6cc01</t>
  </si>
  <si>
    <t>84/206/21</t>
  </si>
  <si>
    <t>84/21</t>
  </si>
  <si>
    <t>840/21</t>
  </si>
  <si>
    <t>841/21</t>
  </si>
  <si>
    <t>842/21</t>
  </si>
  <si>
    <t>844/21</t>
  </si>
  <si>
    <t>845/21</t>
  </si>
  <si>
    <t>845f448308ba4392beb3825f3f4ec793</t>
  </si>
  <si>
    <t>847/21</t>
  </si>
  <si>
    <t>848/21</t>
  </si>
  <si>
    <t>849/21</t>
  </si>
  <si>
    <t>84a4a26834b24fbf90cf11a8c601a71f</t>
  </si>
  <si>
    <t>85/21</t>
  </si>
  <si>
    <t>850/21</t>
  </si>
  <si>
    <t>851/21</t>
  </si>
  <si>
    <t>85110000-3 Послуги лікувальних закладів та супутні послуги</t>
  </si>
  <si>
    <t>85140000-2 Послуги у сфері охорони здоров’я різні</t>
  </si>
  <si>
    <t>851c9c78a14a4d79bd355c13f09808f1</t>
  </si>
  <si>
    <t>853/21</t>
  </si>
  <si>
    <t>85367f61135d4ec7931c25e5acf29941</t>
  </si>
  <si>
    <t>854/21</t>
  </si>
  <si>
    <t>8548e2351009472199d0b2203358dc18</t>
  </si>
  <si>
    <t>857/21</t>
  </si>
  <si>
    <t>859/21</t>
  </si>
  <si>
    <t>859a01d097e446bab83de52ce4979f2d</t>
  </si>
  <si>
    <t>86/21</t>
  </si>
  <si>
    <t>860-18/249/21</t>
  </si>
  <si>
    <t>860d853a106448e78d554ae68a05eea9</t>
  </si>
  <si>
    <t>861/21</t>
  </si>
  <si>
    <t>862/21</t>
  </si>
  <si>
    <t>863/21</t>
  </si>
  <si>
    <t>864/21</t>
  </si>
  <si>
    <t>865/21</t>
  </si>
  <si>
    <t>869/21</t>
  </si>
  <si>
    <t>86f2062d6854493289275b1df4a5f66c</t>
  </si>
  <si>
    <t>87/21</t>
  </si>
  <si>
    <t>870/21</t>
  </si>
  <si>
    <t>8704693d7ff944d692f3545b35e42406</t>
  </si>
  <si>
    <t>871bdeb584b14a81807b549fd2d32b89</t>
  </si>
  <si>
    <t>872/21</t>
  </si>
  <si>
    <t>8727eb253f81404a9c8147a4096cf475</t>
  </si>
  <si>
    <t>873/21</t>
  </si>
  <si>
    <t>874/21</t>
  </si>
  <si>
    <t>876/21</t>
  </si>
  <si>
    <t>877/21</t>
  </si>
  <si>
    <t>878/21/3</t>
  </si>
  <si>
    <t>879/21</t>
  </si>
  <si>
    <t>88/21</t>
  </si>
  <si>
    <t>881c56dfced64c61b7faea64b31d547a</t>
  </si>
  <si>
    <t>883/21</t>
  </si>
  <si>
    <t>886/21</t>
  </si>
  <si>
    <t>887/21</t>
  </si>
  <si>
    <t>888/21</t>
  </si>
  <si>
    <t>889/21</t>
  </si>
  <si>
    <t>88af140d0e4c401db9a29e1ae72836a9</t>
  </si>
  <si>
    <t>88cc7bb6ab13427897bd7775ab801881</t>
  </si>
  <si>
    <t>88e3d91791f748b8b3cd4f1a050b14c1</t>
  </si>
  <si>
    <t>88eb78d1ebd94d2ba372a09711327936</t>
  </si>
  <si>
    <t>89/21</t>
  </si>
  <si>
    <t>890/21</t>
  </si>
  <si>
    <t>891/21</t>
  </si>
  <si>
    <t>892/21</t>
  </si>
  <si>
    <t>893/21</t>
  </si>
  <si>
    <t>894a08be64ce421a948ed7fbf2cebbf0</t>
  </si>
  <si>
    <t>8973338baef9445eae63c3a0b58b6b28</t>
  </si>
  <si>
    <t>8977bb65fe3d49b5b3ce10f40792bed1</t>
  </si>
  <si>
    <t>89f1471edfa64d9d8195a52692fa2251</t>
  </si>
  <si>
    <t>89f8ef4e0ace4411a3e16c5583b66c85</t>
  </si>
  <si>
    <t>8a64d568591a44dabfa4ae203032c9be</t>
  </si>
  <si>
    <t>8a860854028c442fbc992141d15a2ea4</t>
  </si>
  <si>
    <t>8ae23d5914d34dd5979e1c8ca0ff253a</t>
  </si>
  <si>
    <t>8b6d9b39da5a4bdca610feb20b9cd838</t>
  </si>
  <si>
    <t>8b7ec511f6014c2ea6e79f7fad1bf567</t>
  </si>
  <si>
    <t>8b95561861364913bfed925d8c1b6525</t>
  </si>
  <si>
    <t>8bc4190db2554713b6fe70c17cb84603</t>
  </si>
  <si>
    <t>8c24e661e80b47f9b195ff9df1c28d9f</t>
  </si>
  <si>
    <t>8c678fdb3947441e939fdd3490e1be9b</t>
  </si>
  <si>
    <t>8ceaa0ad0cbd475f83025d04bcb531d7</t>
  </si>
  <si>
    <t>8d494400fc8943f5b97e6ea002d0ce45</t>
  </si>
  <si>
    <t>8d99baf0e3d741c6a3dfcb8c8b0e1d97</t>
  </si>
  <si>
    <t>8e0332cd18d54cf289c131e7fba2fce7</t>
  </si>
  <si>
    <t>8eae8bb00a0a4b5d9a35d612f0b84896</t>
  </si>
  <si>
    <t>8eb3420e2902486bab2f012c12605ae1</t>
  </si>
  <si>
    <t>8f26235f1fc24fbb85e6fce9b9756b3b</t>
  </si>
  <si>
    <t>8fa4f1cc063148039eef9593d081e47a</t>
  </si>
  <si>
    <t>8fb51949bd6d4672abee18a0d6f2d7aa</t>
  </si>
  <si>
    <t>8fdd21254f7445348ef3f25968f22246</t>
  </si>
  <si>
    <t>9/01/2021/19/21</t>
  </si>
  <si>
    <t>9/03/2021/197/21</t>
  </si>
  <si>
    <t>9/09/2021/726/21</t>
  </si>
  <si>
    <t>9/237/21</t>
  </si>
  <si>
    <t>9/881/21</t>
  </si>
  <si>
    <t>90/21</t>
  </si>
  <si>
    <t>9024f009bb6446b9bab8fd896fc0ba7f</t>
  </si>
  <si>
    <t>903ef59e1c814008a2075904c47cb2ce</t>
  </si>
  <si>
    <t>90430000-0 Послуги з відведення стічних вод</t>
  </si>
  <si>
    <t>90510000-5 Утилізація/видалення сміття та поводження зі сміттям</t>
  </si>
  <si>
    <t>90520000-8 Послуги у сфері поводження з радіоактивними, токсичними, медичними та небезпечними відходами</t>
  </si>
  <si>
    <t>90583cd74cf14b59a864c8abf77f39fd</t>
  </si>
  <si>
    <t>90730000-3 Відстеження, моніторинг забруднень і відновлення</t>
  </si>
  <si>
    <t>90920000-2 Послуги із санітарно-гігієнічної обробки приміщень</t>
  </si>
  <si>
    <t>90925dee27504aee90be693be5256ede</t>
  </si>
  <si>
    <t>90e67b2319474df79a558821cc3668ec</t>
  </si>
  <si>
    <t>90f46f02051144d2841f9d7d59094df9</t>
  </si>
  <si>
    <t>91/21</t>
  </si>
  <si>
    <t>910935f154204e10a3830fe1b5d23514</t>
  </si>
  <si>
    <t>914fef27a6f348b38d859b7aa761bef5</t>
  </si>
  <si>
    <t>9186-21/644/21</t>
  </si>
  <si>
    <t>91e33bd281f541c2923aa76cf416e658</t>
  </si>
  <si>
    <t>92/21</t>
  </si>
  <si>
    <t>924cd0508b3a4c26bbb30d988f925dad</t>
  </si>
  <si>
    <t>9263b4074936464986af280dd80b5b94</t>
  </si>
  <si>
    <t>92794a3d3d514ed7bea2688df71ecfb8</t>
  </si>
  <si>
    <t>92884c42eba84ec489f22fe1bb462266</t>
  </si>
  <si>
    <t>92bc67bc9c1c45d68a6aefc2d53f5c45</t>
  </si>
  <si>
    <t>92c2e2dc565e42379ec08dbab06c2369</t>
  </si>
  <si>
    <t>92ec476950ec4fd68b3f09fe2a75eac4</t>
  </si>
  <si>
    <t>9317ae9c48aa4ab68bfa661d99d54ac5</t>
  </si>
  <si>
    <t>935b354a142e4df69528c687670d5120</t>
  </si>
  <si>
    <t>9369e5c30abd4ff09c8b8c55b5052034</t>
  </si>
  <si>
    <t>93746c0710e94d2387fee8197e5310bd</t>
  </si>
  <si>
    <t>93ae9561a0914417848323b275efab49</t>
  </si>
  <si>
    <t>93b5721ed5ec462b95c9c01d2d45849f</t>
  </si>
  <si>
    <t>93d23e138f334a02a9ab37ef4f856d31</t>
  </si>
  <si>
    <t>94/21</t>
  </si>
  <si>
    <t>940b55fc00364219b928719326679818</t>
  </si>
  <si>
    <t>94157b11a83342869ffe295b5ac1e08f</t>
  </si>
  <si>
    <t>942f273628704dbbb989128b91474be9</t>
  </si>
  <si>
    <t>94c23d967e0649adbf405dd6f7d136e9</t>
  </si>
  <si>
    <t>95/21</t>
  </si>
  <si>
    <t>95/21/572/21</t>
  </si>
  <si>
    <t>9545c0b0761c496abf2311b3fdc48250</t>
  </si>
  <si>
    <t>96/21</t>
  </si>
  <si>
    <t>960f8212825b4ae599ba7479fe5c2dbb</t>
  </si>
  <si>
    <t>9664fc0d15e24e86a08fa0055a9246e9</t>
  </si>
  <si>
    <t>97/21</t>
  </si>
  <si>
    <t>97649081a33147898d2f5c31ac33da4a</t>
  </si>
  <si>
    <t>98/21</t>
  </si>
  <si>
    <t>9815754c96bc4203ba28b157d962eddc</t>
  </si>
  <si>
    <t>98233bece6e94bf6af2fd8631fdc24f2</t>
  </si>
  <si>
    <t>982b808c06194be39b44f3b333430a1a</t>
  </si>
  <si>
    <t>982e1c8ff5874bf49a768f6f51681863</t>
  </si>
  <si>
    <t>98390000-3 Інші послуги</t>
  </si>
  <si>
    <t>98393000-4 Кравецькі послуги</t>
  </si>
  <si>
    <t>985d08e7ded745088ae9a3e6dfba175c</t>
  </si>
  <si>
    <t>987324355b6542aaaa9f71878342524a</t>
  </si>
  <si>
    <t>99/21</t>
  </si>
  <si>
    <t>994329526a434b76b17a157caa39b168</t>
  </si>
  <si>
    <t>996cdb70441a4be3b557452694743bde</t>
  </si>
  <si>
    <t>998e0b8dcd384103969604b30a45a991</t>
  </si>
  <si>
    <t>99999999-9 Не відображене в інших розділах</t>
  </si>
  <si>
    <t>99a76b66b2e24c4c8b37f28879496051</t>
  </si>
  <si>
    <t>99bf1f191ffc4457bb907fdde25d6fa8</t>
  </si>
  <si>
    <t>99cd5f73f2f3459c957a7de134f92d3f</t>
  </si>
  <si>
    <t>99fa493a1dcb40cda76e6806df0f76bb</t>
  </si>
  <si>
    <t>9ab619fd438749d8a8ed650c108c8317</t>
  </si>
  <si>
    <t>9abd94c9fdd9424daf48f94e6f271846</t>
  </si>
  <si>
    <t>9b2101284c7a4b73b475b80bdc60f865</t>
  </si>
  <si>
    <t>9b672268f13945bd9104bcce9bdd5a2b</t>
  </si>
  <si>
    <t>9b86af3b275648f68d099bbc385258b9</t>
  </si>
  <si>
    <t>9ba13c14f339474bba4c1a05717acfbe</t>
  </si>
  <si>
    <t>9bfab1fcab694d08ae5743b0c1d6d08c</t>
  </si>
  <si>
    <t>9c587793b60a4849ad27c02cc619c825</t>
  </si>
  <si>
    <t>9c64b28ad05d487db0b01d678fb55fb7</t>
  </si>
  <si>
    <t>9c785facbdaf47459b0d21c063874838</t>
  </si>
  <si>
    <t>9c8142ef6f814b1f81e62d54297526b2</t>
  </si>
  <si>
    <t>9d02cefe8d5d469ba94b67b35db18c6c</t>
  </si>
  <si>
    <t>9d228f04e8fa4600802d6bcaafcbc9b6</t>
  </si>
  <si>
    <t>9d3cf7f17c1a445d958ce55cfca9d07c</t>
  </si>
  <si>
    <t>9d45ae72c18d4ad082a2d54a53823347</t>
  </si>
  <si>
    <t>9d80b1378b354b5fa2e73b950a4f87d4</t>
  </si>
  <si>
    <t>9dd622ef03514b56a7a998daac50b295</t>
  </si>
  <si>
    <t>9e47b2f499d24037bc52636f26651628</t>
  </si>
  <si>
    <t>9e480e2d925945448cd694d95979bdf1</t>
  </si>
  <si>
    <t>9e8cf0b48ac745d88dd86ce1285b1bf0</t>
  </si>
  <si>
    <t>C-реактивный білок (R1 1×40 мл + R2 1×10 мл); Калібратор СРБ (5×0,5 мл)</t>
  </si>
  <si>
    <t>DRG 04/21/49/21</t>
  </si>
  <si>
    <t>DRG05/21/50/21</t>
  </si>
  <si>
    <t>ID контракту</t>
  </si>
  <si>
    <t xml:space="preserve">IF1007  Експрес-тест PCT Fast Test Kit(Immunofluorescence Assay), 25 шт./уп.; IF 1006 Експрес-тест D-Dimer  Fast Test Kit (Immunofluorescence Assay), 25шт/уп.; DIA-SARS-CoV-2-NP-IgМ  Тест-система імуноферментна; DIA-SARS-CoV-2-NP-IgG Тест-система імуноферментна </t>
  </si>
  <si>
    <t>IP реєстратор Hikvision DS-7632N-12; HDD3.5 ST6000VX005, 6ТБ</t>
  </si>
  <si>
    <t>Lysine ( р-н д/ін. 1 мг/мл амп. 5 мл, блістер у пачці №10 ); Metamizole sodium (р-н д/ін. 500 мг/мл амп. 2 мл, контурн. чарунк. yп., пачка №10 ); Magnesium (different salts in combination) (р-н д/ін. амп. 5 мл, блістер у пачці №10 ); Ammonia (р-н д/зовн. застос. 10 % фл. 40 мл №1); Hexamethonium bromide (р-н д/ін. 2,5 % амп. 1 мл, у блістері в коробці №10 ); Bisoprolol (табл. 2,5 мг блістер №20 ); Vancomycin (ліофіл. д/р-ну д/інф. 1000 мг фл. №1 ); Verapamil (р-н д/ін. 2,5 мг/мл амп. 2 мл, контурн. чарунк. yп., пачка №10 ); Spironolactone ( капс. 50мг N30); Menadione (р-н д/ін. 10 мг/мл амп. 1 мл, контурн. чарунк. yп., пачка №10 ); Nicotinic acid (р-н д/ін. 10 мг/мл амп. 1 мл, контурн. чарунк. yп., пачка №10 ); Ascorbic acid (vit C) ( р-н д/ін. 50 мг/мл амп. 2 мл, контурн. чарунк. yп., пачка №10 ); Hydazepam (табл. 0,02 г блістер №20 ); Glucose (р-н д/інф. 100 мг/мл пляшка 200 мл №1); Diclofenac (р-н д/ін. 75 мг амп. 3 мл №10 ); Diclofenac (р-н д/ін. 25 мг/мл амп. 3 мл, контурн. чарунк. yп., пачка №10 ); Bendazol (р-н д/ін. 10 мг/мл амп. 5 мл, контурн. чарунк. yп., пачка №10 ); Digoxin (р-н д/ін. 0,25 мг/мл амп. 1 мл, в пачці №10 ); Diphenhydramine ( р-н д/ін. 10 мг/мл амп. 1 мл, контурн. чарунк. yп., пачка №10); Dopamine (конц. д/р-ну д/інф. 40 мг/мл амп. 5 мл, контурн. чарунк. yп., пачка №10 ); Etamsylate (р-н д/ін. 125 мг/мл амп. 2 мл, контурн. чарунк. yп., пачка №10 ); Theophylline (р-н д/ін. 20 мг/мл амп. 5 мл №10 ); Iodine (р-н спирт. д/зовн. застос. 5 % фл. 20 мл №1); Isosorbide dinitrate (табл. сублінгв. 5 мг банка, в пачці №50 ); Calcium chloride (р-н д/ін. 100 мг/мл амп. 10 мл №10); Corglycone (р-н д/ін. 0,6 мг/мл амп. 1 мл, в пачці №10 ); Nikethamide; Caffeine and sodium benzoate ( р-н д/ін. 100 мг/мл амп. 1 мл, контурн. чарунк. yп., пачка №10 )); Cocarboxylase (р-н д/ін. 50 мг/2 мл амп. 2 мл, у блістерах №10 ); Phenylephrine (р-н д/ін. 10 мг/мл амп. 1 мл, блістер у пачці №10 ); Sodium lauryl sulfoacetate, incl. combinations ( р-н рект. туба 5мл №4); Drotaverine (р-н д/ін. 20 мг/мл амп. 2 мл, контурн. чарунк. yп., пачка №5); Hydrogen peroxide ( р-н д/зовн. застос. 3 % фл. 100 мл №1); Papaverine (р-н д/ін. 20 мг/мл амп. 2 мл, контурн. чарунк. yп., пачка №10 ); Formic acid (фл. 50мл №1)</t>
  </si>
  <si>
    <t>a09def7ea20a4bd8ad3844da6a2f61bc</t>
  </si>
  <si>
    <t>a0cfcb3cf5c84759a02404f7492c154e</t>
  </si>
  <si>
    <t>a1a5dfead5764552a9c05b06daffc3d2</t>
  </si>
  <si>
    <t>a1f72a0315ce4c1cbbe04809706ed1a7</t>
  </si>
  <si>
    <t>a2375903a4c8495585d0a769f54b5349</t>
  </si>
  <si>
    <t>a27c6c0374854f7a95cea157dcf8c495</t>
  </si>
  <si>
    <t>a2c6ddfeff1a4e7ba0f94a48e506b7d4</t>
  </si>
  <si>
    <t>a3217ceaf34b4ba4be1eb75b3f2ed69d</t>
  </si>
  <si>
    <t>a422bd4424bc4351bcdee5341ce61df0</t>
  </si>
  <si>
    <t>a4a8ce799a744b34a4ad4e298b558bdd</t>
  </si>
  <si>
    <t>a5381418c30f4130849a004e802d39cd</t>
  </si>
  <si>
    <t>a5fa81d0366643ff91dd0613e4d00ce9</t>
  </si>
  <si>
    <t>a61cdec33df84f8caf1c852d05a4ad95</t>
  </si>
  <si>
    <t>a61da974c40d49329abc18e6a89392da</t>
  </si>
  <si>
    <t>a699e074b4c54c5b895db7b24852cac2</t>
  </si>
  <si>
    <t>a70a501455db41a0a74257900dbbd219</t>
  </si>
  <si>
    <t>a734f6d08c2742e3a85ae0c6b3b52d14</t>
  </si>
  <si>
    <t>a795794c16d947feb8c35b6deb9c4978</t>
  </si>
  <si>
    <t>a8133fcc49a743e79acfcb64a502ce6a</t>
  </si>
  <si>
    <t>a8238043a7f54bb4b7d482bf030e380e</t>
  </si>
  <si>
    <t>a9035a5a74964c58b7e6fda67fa01cda</t>
  </si>
  <si>
    <t>a91f6370d33d4cd788f1499ffaa83bfd</t>
  </si>
  <si>
    <t>a9f8fa57d6b84a3bbfe9f96e0a36012e</t>
  </si>
  <si>
    <t>aa02443c528e4fc38e9e10d474de55f5</t>
  </si>
  <si>
    <t>aaec5381a4214d94b54a16cceec814bf</t>
  </si>
  <si>
    <t>aaef7bd8a0724209996a1c6d2770891a</t>
  </si>
  <si>
    <t>ac2dcd43dbcf4191b633f0e432ff4db3</t>
  </si>
  <si>
    <t>aca78ae6f6564b729276896c0c8b9e7a</t>
  </si>
  <si>
    <t>acd6421e243c480391534e2652f522a8</t>
  </si>
  <si>
    <t>acd714abf78b4bdab7a6314aafa7f830</t>
  </si>
  <si>
    <t>acdbdc65e5654b0b881651bb1f03c16d</t>
  </si>
  <si>
    <t>acf01f30623f4c488f7f02dd97c7d84b</t>
  </si>
  <si>
    <t>acfca062333246f9b214c3b158542531</t>
  </si>
  <si>
    <t>ad36ae750d29444d994b809725708436</t>
  </si>
  <si>
    <t>ad3e57fcbedf4457bc285a90d061b8df</t>
  </si>
  <si>
    <t>ad7ade259aaf4d35822553da492479f2</t>
  </si>
  <si>
    <t>ae2e9ba15f594f349e24069bbde35aed</t>
  </si>
  <si>
    <t>ae71bf0a84614d8da5b14991247ef44d</t>
  </si>
  <si>
    <t>ae8c1e7e4092491f91d8966ef3ea87f4</t>
  </si>
  <si>
    <t>aeeed22fa1b540da890239d52a6ff024</t>
  </si>
  <si>
    <t>af2c7b777fa14e37b07e1a31d7bdaa41</t>
  </si>
  <si>
    <t>af35f079eb2e49a0bf26b70582c60f91</t>
  </si>
  <si>
    <t>af36459283374e5b9b82f2d8baebfdd6</t>
  </si>
  <si>
    <t>afab316c1e4f4ee2b237598f0cf63e18</t>
  </si>
  <si>
    <t>b001e98cf49c44eba478102930c8e8d2</t>
  </si>
  <si>
    <t>b02ce54b20344740a904fe0731839ca2</t>
  </si>
  <si>
    <t>b04679128cee48c8b3bc65df2bb1a7ce</t>
  </si>
  <si>
    <t>b04883b1b78d4d6d8c7be07c5c4afcea</t>
  </si>
  <si>
    <t>b06e5b4d297f44edaad1de9e11af6596</t>
  </si>
  <si>
    <t>b0e67783de3446f2985c5ff43f9f87c5</t>
  </si>
  <si>
    <t>b0fbff9fbb004c56894b4a336a667c10</t>
  </si>
  <si>
    <t>b243addabfd8447fa1dfeccb3a1be6b5</t>
  </si>
  <si>
    <t>b3222f546f3645768bf822dc908f23e1</t>
  </si>
  <si>
    <t>b3397621925d4dd5a1c70baafe4086a7</t>
  </si>
  <si>
    <t>b3516a31d6214ec4ad76f6f33f0d057a</t>
  </si>
  <si>
    <t>b35a6160e7df474a82fc85ef27a08ef9</t>
  </si>
  <si>
    <t>b377799076d5403682976c88448d2520</t>
  </si>
  <si>
    <t>b3accdc83b3740b697efdeca33bee59f</t>
  </si>
  <si>
    <t>b3c661eec5724c34a718aaa6cbe1db44</t>
  </si>
  <si>
    <t>b3e586bd48ff439bb25906730edb81b6</t>
  </si>
  <si>
    <t>b4e24cd7c7d945f8a8e0f2aff350a92b</t>
  </si>
  <si>
    <t>b4e33371c7e44d368efc4c94952f354a</t>
  </si>
  <si>
    <t>b53c0105430e4b909815413f07a28542</t>
  </si>
  <si>
    <t>b5f01989e1904ac2a0dd67cf9c94317e</t>
  </si>
  <si>
    <t>b605935289cc43f0977ce0c7506e17f4</t>
  </si>
  <si>
    <t>b623d5eca92648f0b93e93c02937ad30</t>
  </si>
  <si>
    <t>b62609768f054f75acb8080a6d887b73</t>
  </si>
  <si>
    <t>b6a1bf59188b4b789b01e2ded5229a01</t>
  </si>
  <si>
    <t>b6b82481077c4e6cbc836ff08206a1d1</t>
  </si>
  <si>
    <t>b739e0fae79a460f8fc1789cf4ebbea5</t>
  </si>
  <si>
    <t>b760bb125ab54ddf89295ecc5ccea089</t>
  </si>
  <si>
    <t>b781b3027e8044a38f99f4510b3d9a89</t>
  </si>
  <si>
    <t>b7b25c0926d24682a5bf8e5bf0566b91</t>
  </si>
  <si>
    <t>b7e8722aace54553958f6b99820742e4</t>
  </si>
  <si>
    <t>b81790f4bf8a46df9fbf85f2a2a8e8a3</t>
  </si>
  <si>
    <t>b8636c28c19b405298eb602fc684a53f</t>
  </si>
  <si>
    <t>b872080a7f97463489b5a2bfea847a5e</t>
  </si>
  <si>
    <t>b8abf15b8bb54b1eb85ce8794d39f985</t>
  </si>
  <si>
    <t>b8acd26640954ff49106c218416a0b2e</t>
  </si>
  <si>
    <t>b91889fd71d34bf7b0841ee2d274cf59</t>
  </si>
  <si>
    <t>b918b984efc04bba96fa2b2ba08132ba</t>
  </si>
  <si>
    <t>b9c20d468adf4eafb46bc2e30f38a739</t>
  </si>
  <si>
    <t>b9f8a5109efb42cdb491b82869743102</t>
  </si>
  <si>
    <t>ba32677838694f99930356eb046845f6</t>
  </si>
  <si>
    <t>ba3437dc83fa436fb48969378a7e39a4</t>
  </si>
  <si>
    <t>bac1d5394c684fbe8b0becd50f3fcee9</t>
  </si>
  <si>
    <t>bb5e4a10ccac4e128b7351c1f5909234</t>
  </si>
  <si>
    <t>bb64ce614574483cb4db62d5ee27344d</t>
  </si>
  <si>
    <t>bb72adb68ef7414e9d8b8f4888a855d7</t>
  </si>
  <si>
    <t>bb8966bda53d443788fa113617f34f52</t>
  </si>
  <si>
    <t>bba6cde3bf1d4f1892ec0f8f7bb83625</t>
  </si>
  <si>
    <t>bc281b22f8454ee18ba4b71d2b46b37a</t>
  </si>
  <si>
    <t>bcf25cdf6b0840a4913b1e3c3ffba746</t>
  </si>
  <si>
    <t>bd1bc5eedbd44db58e8a667973cd1525</t>
  </si>
  <si>
    <t>bdf1baf785d44edeb58fc7822731f3a3</t>
  </si>
  <si>
    <t>be1bc9ae66cf4ed88dad2490b0345f56</t>
  </si>
  <si>
    <t>be7e6ab41f7e48348369331637a9f09f</t>
  </si>
  <si>
    <t>bf0c398cbad8429bac5d04fe09e11c13</t>
  </si>
  <si>
    <t>bff311b2ad064464940d5d8517178acb</t>
  </si>
  <si>
    <t>c1098ecdd1d241b09730b8e2d32c4e9d</t>
  </si>
  <si>
    <t>c11c85775add4479a1a62948917c34f2</t>
  </si>
  <si>
    <t>c12c8937effb42c289817d3d3173aaea</t>
  </si>
  <si>
    <t>c192b29fbd9641409515aaaf41482bdf</t>
  </si>
  <si>
    <t>c2141a2af8124f6ca1df89d795474fc7</t>
  </si>
  <si>
    <t>c22837d12a774dcebc3d6689a054f26b</t>
  </si>
  <si>
    <t>c2af11f3b2a54ab8a6cd6425636bde9e</t>
  </si>
  <si>
    <t>c2d1ebe6020c4e7cb404d07b099fe611</t>
  </si>
  <si>
    <t>c3087b73a28c4310bba6947958da236c</t>
  </si>
  <si>
    <t>c308d4d47b1f43e596ebf549d6d7700e</t>
  </si>
  <si>
    <t>c328a64f56954b4b9ca062e68256de79</t>
  </si>
  <si>
    <t>c338e1ab4afd43d7b3c69453f5d815b5</t>
  </si>
  <si>
    <t>c339d497fe6843e6809034bf4cf50ded</t>
  </si>
  <si>
    <t>c414a125ba604fcda6ff5d900d8b1251</t>
  </si>
  <si>
    <t>c4221ef2648540e5aa1619e59de5f242</t>
  </si>
  <si>
    <t>c4d9ef9fb99d475aae13a3f282fe3b29</t>
  </si>
  <si>
    <t>c4f18095ebe64806a97f7742240ac478</t>
  </si>
  <si>
    <t>c58875a1ea1b4559a8ee84c0dbae39e5</t>
  </si>
  <si>
    <t>c69798a6eb0f483c974143db0f55f664</t>
  </si>
  <si>
    <t>c6ac6b4fc05947ff9b6bd1aad6e8d0bb</t>
  </si>
  <si>
    <t>c6b19b0eabd4476dbcbbc9e131c0dc1b</t>
  </si>
  <si>
    <t>c70389cc76434bd9a67f6125203dc97a</t>
  </si>
  <si>
    <t>c70f7a5a157b4f3dbe49ddcd1884bfbd</t>
  </si>
  <si>
    <t>c78362e139cc4866a73b1b2c623c312c</t>
  </si>
  <si>
    <t>c7b770955c4f4393a96639acf2f90013</t>
  </si>
  <si>
    <t>c7df31755af14c1b9d538a2f054e6f0e</t>
  </si>
  <si>
    <t>c7ff69e738274857bacd5c456643784c</t>
  </si>
  <si>
    <t>c82e4e70d16f4f059b6edda6114c0157</t>
  </si>
  <si>
    <t>c83c49e9ddff4625935b6a113b8e0bbc</t>
  </si>
  <si>
    <t>c86687c1757a43f194bfeabb8c67b432</t>
  </si>
  <si>
    <t>c915e282a9ec404fa10648c5a1286cbe</t>
  </si>
  <si>
    <t>c95330a97a98421c83175089def5fb75</t>
  </si>
  <si>
    <t>c97cea445701490b92d102c7a77df8df</t>
  </si>
  <si>
    <t>c9d042f56ad044118c0437a75e7c2f97</t>
  </si>
  <si>
    <t>c9f4be4bfb5849628164fadd2814f310</t>
  </si>
  <si>
    <t>ca7003536d72426b81d05bf403e6dde7</t>
  </si>
  <si>
    <t>ca793d311f9242a4a2788d377cc18bef</t>
  </si>
  <si>
    <t>cb08cf2557384444a7b512904337904d</t>
  </si>
  <si>
    <t>cb73883da2e4494e8d8a4d409488568f</t>
  </si>
  <si>
    <t>cbbc2d45b60b44c4a86771bf133db35a</t>
  </si>
  <si>
    <t>cbd6b3b29a444c069c0d820db6f4ea67</t>
  </si>
  <si>
    <t>cbf905a7ea084766a36caceaf7d812eb</t>
  </si>
  <si>
    <t>cc1ddabe277e4285bda38133442230d6</t>
  </si>
  <si>
    <t>cc5212be1217482b987bb4dc68d481f1</t>
  </si>
  <si>
    <t>cc8e5b72de0d4cc098631d790511ad63</t>
  </si>
  <si>
    <t>cd27005ee1ed4f24aa90f240c3e7dd29</t>
  </si>
  <si>
    <t>cdf3fb8ed42343e8a3228cc4438d9b14</t>
  </si>
  <si>
    <t>ce351c3ee4d2480fb594acd97498e919</t>
  </si>
  <si>
    <t>ce3e426a7e9349d5bdd23344d281679d</t>
  </si>
  <si>
    <t>ce90ca1dda514f93905851c48b7f863d</t>
  </si>
  <si>
    <t>ce93a15407c546b696b7d129b1082591</t>
  </si>
  <si>
    <t>ce9957f301b84fd5a30ddf25497014fd</t>
  </si>
  <si>
    <t>cebd64ce0d824debbe6de4f9ee62c708</t>
  </si>
  <si>
    <t>cee148b3c64c4d68b0a707af47c781e0</t>
  </si>
  <si>
    <t>cefbe5d46d174bf48ec9973118c372fb</t>
  </si>
  <si>
    <t>cf10fa2a96a44cab83b2aca3b2798701</t>
  </si>
  <si>
    <t>cfb377ea3f134f7aa37ed69af6f5ba21</t>
  </si>
  <si>
    <t>cfb4056e2dc647e7b315931db5d51756</t>
  </si>
  <si>
    <t>cffdb874e8504cc0ad8a54ce820e74c4</t>
  </si>
  <si>
    <t>d01996aedcb14e3ba33ba9126a3a611f</t>
  </si>
  <si>
    <t>d01c4d0de8fd41708972fccccf027a77</t>
  </si>
  <si>
    <t>d0511aaeda0b43b4a2b0fff58d70fc99</t>
  </si>
  <si>
    <t>d0ec735749b14f4ca2037e410bd471a9</t>
  </si>
  <si>
    <t>d1376a8c464542708b76b66fed575393</t>
  </si>
  <si>
    <t>d165baecaec14c0eab9962cc63661863</t>
  </si>
  <si>
    <t>d1bc51ea0dd042f68e810cb7c824ceed</t>
  </si>
  <si>
    <t>d1e1bed9446049ef9443f4fd9db8d8fc</t>
  </si>
  <si>
    <t>d2019a5f6fc14910a1145d45fb5dc1b5</t>
  </si>
  <si>
    <t>d217061f2cdb43ac9241460d3baf685b</t>
  </si>
  <si>
    <t>d227129273314f49a430f5b7089617b9</t>
  </si>
  <si>
    <t>d2413de9686f4f93831d7d31f31a485f</t>
  </si>
  <si>
    <t>d24b75691f9646758c02838196158b35</t>
  </si>
  <si>
    <t>d27b052667434e70945ee91b7bbab8c9</t>
  </si>
  <si>
    <t>d2f0c57d4ec14622a43961f3209dc16c</t>
  </si>
  <si>
    <t>d30d2b92ec1c42088b19a2938661fd8a</t>
  </si>
  <si>
    <t>d330589f24fc49a4b2bd21bc9603e625</t>
  </si>
  <si>
    <t>d4cbf44d6bbb452dbc025b3cef609217</t>
  </si>
  <si>
    <t>d508e1222b964f30a75c8ebd767e8441</t>
  </si>
  <si>
    <t>d53ae1f3409e4c6391c9521426b31516</t>
  </si>
  <si>
    <t>d5f30a54e5204e3db0fc575facc9ad1c</t>
  </si>
  <si>
    <t>d6364b3a10154620a2df755238435705</t>
  </si>
  <si>
    <t>d75cf38b241f4926b9d908e4b379aab3</t>
  </si>
  <si>
    <t>d7b8b373575c425f880b6f8ba319c3cb</t>
  </si>
  <si>
    <t>d80a99455dc54df9be51becd23bf0ded</t>
  </si>
  <si>
    <t>d96b9e3ba4fa4c93a5207938395a69aa</t>
  </si>
  <si>
    <t>d9734aca3dee4e5883f1641942e5dd30</t>
  </si>
  <si>
    <t>d97c6d06c155464eb034c6533535fa52</t>
  </si>
  <si>
    <t>d99a642caacb4e03bc9a1ff86f86c129</t>
  </si>
  <si>
    <t>d9d4d100fec04e5ead3bbf91d8362226</t>
  </si>
  <si>
    <t>da04b27dc36148d2bbafe56a1f87dd97</t>
  </si>
  <si>
    <t>da0b6365a0ab49a382e2ccecea653b51</t>
  </si>
  <si>
    <t>da17aefca6124587916ff0d5a8fa8889</t>
  </si>
  <si>
    <t>da349a26a6f64e608c9de2e5ba7b0c7d</t>
  </si>
  <si>
    <t>daa3d2af0c8045bca26f98db39b7178b</t>
  </si>
  <si>
    <t>daf9f0037a634d79b26e9c19f9d9ced0</t>
  </si>
  <si>
    <t>db1bbff32d0944959b11b0393e5aab65</t>
  </si>
  <si>
    <t>db61788f676642fcbf6d6b5c4f45cda0</t>
  </si>
  <si>
    <t>dbb851ccf65c436ca7c19fa712c6e553</t>
  </si>
  <si>
    <t>dbbdd3b0b0624d57bd9ae33b45b846b0</t>
  </si>
  <si>
    <t>dc10ce6faff5465a896d220edcca2ed3</t>
  </si>
  <si>
    <t>dc2afdfb36644534b6297212dd9622fa</t>
  </si>
  <si>
    <t>dc354ab40e4847af910a2ba717cf9f6a</t>
  </si>
  <si>
    <t>dc3d1021ad7e4fb1b24d2d5be15c05d9</t>
  </si>
  <si>
    <t>dc5325e91c454425ab64189ad5c9dd0f</t>
  </si>
  <si>
    <t>dc5de6de9bac41589a093462a190af7a</t>
  </si>
  <si>
    <t>dcb47f52ba634099aa5af3bdd31aea24</t>
  </si>
  <si>
    <t>de475c959379482ca7d22abaaf084e20</t>
  </si>
  <si>
    <t>de718d59cc844089a017c719f9a13be6</t>
  </si>
  <si>
    <t>de7ffd7b1cc24eacbe81628a9e52a3d1</t>
  </si>
  <si>
    <t>dea0ca0df323464ba50ec82bd80e6b02</t>
  </si>
  <si>
    <t>debc5eedb69a419a91b3e10ccbc5482f</t>
  </si>
  <si>
    <t>df488a10523845d6a8b6ac57510db521</t>
  </si>
  <si>
    <t>e02e30c78dba4e51b58992992018a1f3</t>
  </si>
  <si>
    <t>e064778c73444d24a6a38f1644439024</t>
  </si>
  <si>
    <t>e0896d30613a46648b748a3b3f2dfe08</t>
  </si>
  <si>
    <t>e1b84f27437f4b3c880289e14117a3a5</t>
  </si>
  <si>
    <t>e1e5726a867a42a69e82dabc58e536fa</t>
  </si>
  <si>
    <t>e247ba8338644bc49fb75df3b613dc41</t>
  </si>
  <si>
    <t>e268969f83e640e59b35b229a890acba</t>
  </si>
  <si>
    <t>e2bc9ff778b54705a118683efca51cc1</t>
  </si>
  <si>
    <t>e2e1128a444c42e58fe2c9be52628acc</t>
  </si>
  <si>
    <t>e351d463237844c5a262a7699c99da8c</t>
  </si>
  <si>
    <t>e37f18554a184683991ce2d89d84ab7c</t>
  </si>
  <si>
    <t>e383cee7e2424fa093ba2a82df31a61b</t>
  </si>
  <si>
    <t>e4b16aaf848940d2ba37e703081b7eba</t>
  </si>
  <si>
    <t>e59151fa7cfb4cd9a2fefc8e56c94b20</t>
  </si>
  <si>
    <t>e5b24c1578124051b58f096ea4956e16</t>
  </si>
  <si>
    <t>e5c2ea4e74694e9d8dc5a57fee5c39cf</t>
  </si>
  <si>
    <t>e5e445d1cfb241b0b925e20fcb1332ae</t>
  </si>
  <si>
    <t>e6bb325870ce4cd495f8b50ceed0e08b</t>
  </si>
  <si>
    <t>e6ec8faac8d24d9a9bf20eac59631c3e</t>
  </si>
  <si>
    <t>e712b46eea1e4e73ac58438da13060dd</t>
  </si>
  <si>
    <t>e72694498f144ce3972093e8e4db228d</t>
  </si>
  <si>
    <t>e740b3b799d0406eb2066df0d2dc0e30</t>
  </si>
  <si>
    <t>e757b6373d6142ddb0e56b6f3502cf77</t>
  </si>
  <si>
    <t>e76a4bf57e9846eba7cf5865aea867aa</t>
  </si>
  <si>
    <t>e7bf2cf655534630bc5477f406ad836e</t>
  </si>
  <si>
    <t>e8407774cb14473382e591a26a73bc24</t>
  </si>
  <si>
    <t>e9b93366d9fc4b18a5b83855cc972e68</t>
  </si>
  <si>
    <t>e9ef46da0084408a9c072fd42d295d60</t>
  </si>
  <si>
    <t>e9f82d1b941e411b90b4dc1423a0d125</t>
  </si>
  <si>
    <t>ea387bbda5b34789a991d7a3e489f696</t>
  </si>
  <si>
    <t>ea63e19cd2984803abde1668b04c6492</t>
  </si>
  <si>
    <t>ea6f5382f0c547d4826bb3fc1051097c</t>
  </si>
  <si>
    <t>ea799f69375140b08dba2236ba1c3302</t>
  </si>
  <si>
    <t>ea8bd4d90683475ca882ac6c939a9802</t>
  </si>
  <si>
    <t>eabc38a2b3d543a78ab2e669144b1466</t>
  </si>
  <si>
    <t>eaeed2dd30c84c3a8b8ed268025a75af</t>
  </si>
  <si>
    <t>eb46e29fd42640f3928faf114ae63dd4</t>
  </si>
  <si>
    <t>ebda4ae84cb84c189d7c8cf0d4873020</t>
  </si>
  <si>
    <t>ed4fa58cc5014297a13dfbfeaa383143</t>
  </si>
  <si>
    <t>ed945f2bf8924399be29e18e9d744f93</t>
  </si>
  <si>
    <t>edf8cdaf4ac14022b0a2f669c3647fd9</t>
  </si>
  <si>
    <t>ee03f0f7452e4601a03a7d7f0a6b1005</t>
  </si>
  <si>
    <t>ee06ad8c2e4f4deda7df8955e9b8b068</t>
  </si>
  <si>
    <t>ee7d343c09e343a89cd6a0e0739b4b24</t>
  </si>
  <si>
    <t>eede417820424116b784b3798c547741</t>
  </si>
  <si>
    <t>ef20272df388470a94e3ba65d219fd6a</t>
  </si>
  <si>
    <t>ef65ae06f6cd43e9bfe21bfcab5ebd40</t>
  </si>
  <si>
    <t>ef9cc7dd175244d992bc630476866db6</t>
  </si>
  <si>
    <t>efc9cf547b634e808e1d4d351061e2b9</t>
  </si>
  <si>
    <t>efe25d15e7994f6c96a6209c3dc1647d</t>
  </si>
  <si>
    <t>f014621ea080460bb40b93b6a0b096e2</t>
  </si>
  <si>
    <t>f099688723bb486d94469825b9a9ed09</t>
  </si>
  <si>
    <t>f0b485a946464879917579a29d382df2</t>
  </si>
  <si>
    <t>f0bbd34475b44ab3abdbd7a2d5df2d96</t>
  </si>
  <si>
    <t>f0f7a53afb5f45459b8363189c17e6c2</t>
  </si>
  <si>
    <t>f13ad79ead0140e29df539d1fae53919</t>
  </si>
  <si>
    <t>f14d45a41d9e4edfb8904bc6442ff8dd</t>
  </si>
  <si>
    <t>f1be6685602245e9abcac2d9740a7676</t>
  </si>
  <si>
    <t>f2722d2d3d354fe587bd9e2e4a6904c5</t>
  </si>
  <si>
    <t>f2b32517dfa443b29b58cc6605eeb3fd</t>
  </si>
  <si>
    <t>f2dd903b2f2c40129519c4cb044fc58c</t>
  </si>
  <si>
    <t>f2f74e17a3234adaa89238c1af85947c</t>
  </si>
  <si>
    <t>f3351a2f491040a28e32d99d3d717263</t>
  </si>
  <si>
    <t>f369b133d40548a8b570a08bf365f3ae</t>
  </si>
  <si>
    <t>f3e2e04733f7499fa337ede0150b5c40</t>
  </si>
  <si>
    <t>f44fd19c46d9446584d64b4884a4b6ad</t>
  </si>
  <si>
    <t>f471b8042f594cc98189ec126481f2ca</t>
  </si>
  <si>
    <t>f472474f5e744734aa3478eb8d653c8f</t>
  </si>
  <si>
    <t>f47b5041cc734aa18cd1694cc8fe6efe</t>
  </si>
  <si>
    <t>f4b80b549c3a4eff93deab6ad005c59d</t>
  </si>
  <si>
    <t>f4dd9f5db8b14812a835931ad87a72c0</t>
  </si>
  <si>
    <t>f5a529b18c934531befe51a8b2b45dba</t>
  </si>
  <si>
    <t>f5e4187c515745cea28215b28edc729e</t>
  </si>
  <si>
    <t>f5f48f9e68014e3b9faf0cd816e62742</t>
  </si>
  <si>
    <t>f6423f8673614a48a091b61f3bc8dcf0</t>
  </si>
  <si>
    <t>f709d1411dd14cc0bdf5aad09c0a2a0f</t>
  </si>
  <si>
    <t>f7307045243e477cae39bf0f1f6b3ac5</t>
  </si>
  <si>
    <t>f789d3a9a824460a9675a3e7a29513ea</t>
  </si>
  <si>
    <t>f7fc0a62268b40ddb397823e925a2651</t>
  </si>
  <si>
    <t>f85120086da4432eb389ecb8fa5a835e</t>
  </si>
  <si>
    <t>f8952a5e94c54c8cadf5d86b8b23ddee</t>
  </si>
  <si>
    <t>f89a301878cc45c89478cee66d16e85a</t>
  </si>
  <si>
    <t>f8b1b965d2cf44b3b00f8f78f117bad3</t>
  </si>
  <si>
    <t>f8ef24b78b7840caa0c00d777e10e3f9</t>
  </si>
  <si>
    <t>f93ca71c7fd44df28deb6862bd9cad49</t>
  </si>
  <si>
    <t>f941f34e40ea45dba22f74371d1e3b31</t>
  </si>
  <si>
    <t>f9edf5ab989e46deab70c41f9768c5ba</t>
  </si>
  <si>
    <t>faeaffc0aa6943c9a53a2ad691637cd3</t>
  </si>
  <si>
    <t>fb0d0b34840d4f1b9de494f660188910</t>
  </si>
  <si>
    <t>fb0eabba8f63416bb8f8041ef2b3ef3b</t>
  </si>
  <si>
    <t>fb7c4a02e8834fa0b140df3f40a56def</t>
  </si>
  <si>
    <t>fbff7b976101497fb180b1176c7a105f</t>
  </si>
  <si>
    <t>fc403d67b3c04306b555e0d6187cd024</t>
  </si>
  <si>
    <t>fc9c024fac404636a32203b68ec149fe</t>
  </si>
  <si>
    <t>fcde1eee996e49d6980dd2eb8548adf7</t>
  </si>
  <si>
    <t>fd89ac3bdbf844ada324b759996424da</t>
  </si>
  <si>
    <t>fd9e744938034e32a390e73525905bea</t>
  </si>
  <si>
    <t>fde6b64b246d432cb52781f4c6fcafc7</t>
  </si>
  <si>
    <t>fe1b98ad45b94999be59e7c8323fab72</t>
  </si>
  <si>
    <t>fead0c6e9adc471387839a2bf2d2bf54</t>
  </si>
  <si>
    <t>feb6f33f2cac45afa3002697680107cc</t>
  </si>
  <si>
    <t>fef80a5373074374929fa4ca1eb24bd6</t>
  </si>
  <si>
    <t>ff92c6e817a74f2aa58a79905b08d916</t>
  </si>
  <si>
    <t>ffdcc7cbf6934d9ea23dcdac9d47848b</t>
  </si>
  <si>
    <t>fff57b745dfc49b4907cf94d88de7b4f</t>
  </si>
  <si>
    <t>fffb7a5ca31c474c9d68b077494d4610</t>
  </si>
  <si>
    <t>report.zakupki@prom.ua</t>
  </si>
  <si>
    <t>ЄДРПОУ переможця</t>
  </si>
  <si>
    <t>ІР камера Hikvision DS-2CD1343G0-I 4Mp; ІР камера Hikvision DS-2CD2443G0-I 4Mp; ІР камера Hikvision DS-2CD2T43G2-4I 4Mp; ІР камера Hikvision DS-2CD2343G2-I 4Mp; ІР камера Hikvision DS-2CD2043G2-I 4Mp</t>
  </si>
  <si>
    <t>Ідентифікатор договору (Використовується при звітуванні у E-data)</t>
  </si>
  <si>
    <t>Ідентифікатор закупівлі</t>
  </si>
  <si>
    <t>Ідентифікатор лота</t>
  </si>
  <si>
    <t>А В Е Р С</t>
  </si>
  <si>
    <t>АКЦІОНЕРНЕ ТОВАРИСТВО "ЛЬВІВСЬКИЙ ХІМІЧНИЙ ЗАВОД"</t>
  </si>
  <si>
    <t>АКЦІОНЕРНЕ ТОВАРИСТВО "ОПЕРАТОР ГАЗОРОЗПОДІЛЬНОЇ СИСТЕМИ  "ЛЬВІВГАЗ"</t>
  </si>
  <si>
    <t>АТ "ЛЬВІВСЬКИЙ ХІМІЧНИЙ ЗАВОД"(кінцевий бенефіціарний власник-БОБРИШОВ А.М., місто Львів, вул.Колійна,6, БОБРИШОВА К. А., місто Львів, вул.Бережанська, 15А.)</t>
  </si>
  <si>
    <t>АФОНІН ВІТАЛІЙ ВАСИЛЬОВИЧ</t>
  </si>
  <si>
    <t>Адреналін- Дарниця р-н д/ін. 1,8 мг/мл 1 мл, контурн. чарунк. уп., пачка №10; Амоксиклав пор. д/р-ну д/ін. 1000 мг+200 мг фл. №5; Атропін-Дарниця р-н д/ін. 1 мг/мл амп. 1 мл, контурн. чарунк. уп., пачка №10; Клексан 300 р-н д/ін 10000 анти-Ха МЕ/1 мл фл. багатодоз. 3 мл №1; Гепарин-Фармекс р-н д/ін. 5000 МО/мл фл 5 мл №5; Дексаметазону фосфат р-н д/ін 4 мг/мл амп 1 мл в пачці №10; Рафт р-н д/ін 4 мг/мл амп. 1 мл, блістер у пачці №10; Кальцію глюконат-Дарниця (стабілізований) р-н д/ін 100 мг/мл амп. 5 мл, контурн. чарунк. уп. №10; Магнію сульфат-Дарниця р-н д/ін. 250 мг/мл амп. 5 мл, контурн. чарунк. уп.№10; Метоклопраміду гідрохлорид р-н д/ін 5 мг/мл амп 2 мл у касеті у пачці №10; Муколван р-н д/ін 7,5 мг/мл амп. 2 мл в пачці №5; Омез ліофіл д/п р-ну 40 мг фл №1; Налоксон-ЗН р-н д/ін 0,4 мг/мл амп. 1 мл, коробка №10; Преднізолон-Дарниця р-н д/ін 30 мг/мл амп. 1мл, контурн. чарунк уп., пачка №5</t>
  </si>
  <si>
    <t>Актемра конц. д/інф 80 мг/4мл №1; Актемра конц. д/інф 200 мг/10мл №1</t>
  </si>
  <si>
    <t>Аланінамінотрансфераза	R1 4×35 мл + R2 2×18 мл; Аспартатамінотрасфераза	R1 4×35 мл + R2 2×18 мл; Холестерин загальний	R 4×40 мл; Альбумін	R 4×40 мл; Сечовина	R1 4×35 мл + R2 2×18 мл; α-Амілаза 	R1 1×38 мл + R2 1×10 мл; Сечова кислота	R1 4×40 мл + R2 2×20 мл; Глюкоза  	R1 4×40 мл + R2 2×20 мл; Білірубін Загальний	R1 4×20 мл + R2 1×20 мл; Креатинін - SOX	R1 2×27 мл + R2 1×18 мл; Мультикалібратор	20×3 мл; Мультіконтроль ClinChem (level 1)	6×5 мл; Мультіконтроль ClinChem (level 2)	6×5 мл;  Очищуючий розчин CD-80	1 л; C-реактивный білок	R1 1×40 мл + R2 1×10 мл; Загальний білок	R 4×40 мл; Калібратор СРБ	5×0,5 мл; Тригліцериди	R 4×40 мл; Феритин 	R1 2×18 мл + R2 2×10 мл; Холестерин високої щільності (ЛПВЩ) 	R11×40 mL + R2 1×14 mL; Холестерин низької щільності (ЛПНЩ)	R1 1×40 mL+ R2 1×14 mL; Ділюент (Ізотонічний розчин) Dia-Diluent-D	  20 л; Детергент Dia-Rinse-D	   20 л; Лізуючий розчин Dia-Lyse- Diff D-CF	 0,5 л; Миючий розчин Dia-Probe-Cleaner-D	  0,05 л; Контрольна кров СВС-3D, 2,0 мл	  2,0 мл; Смужки діагностичні для аналізатора сечі на 11 параметрів, 11G, 100 шт/упак	 100шт/упак</t>
  </si>
  <si>
    <t>Амоксил-К пор. д/п ін. р-ну 1,2г, фл. №1; Гепарин-Фармекс р-н д/ін. 5000 МО/мл 5 мл №5; Дексаметазону фосфат р-н д/ін. 4 мг/мл амп. 1 мл, в пачці №10</t>
  </si>
  <si>
    <t>БАРТІШ ЯРОСЛАВ МИХАЙЛОВИЧ</t>
  </si>
  <si>
    <t>БОДАЧЕВСЬКИЙ ОЛЕКСАНДР ПРОКОПОВИЧ</t>
  </si>
  <si>
    <t>БОРЕЦЬКИЙ АНАТОЛІЙ ВОЛОДИМИРОВИЧ</t>
  </si>
  <si>
    <t>БУКЛІВ ОЛЕНА МИКОЛАЇВНА</t>
  </si>
  <si>
    <t>БУТОВ МИКОЛА ЛУКАШЕВИЧ</t>
  </si>
  <si>
    <t>Бензин А-95; Бензин А-92; дизельне паливо</t>
  </si>
  <si>
    <t>Бліцеф пор. д/інф. 1г №10; Єврозидим пор. д/п р-ну д/інг. 1 г №10; Левопро р-н д/інф 500 мг 100 мл №1;  Левопро р-н  д/інф 500 мг 150 мл №1</t>
  </si>
  <si>
    <t>Брошура "Індивідуальна карта вагітної та породіллі" А4; брошура "Обмінна карта полового будинку" А5; "Виписка з амбулаторної карти", "Анкета вагітної", "Форма інформативної згоди"</t>
  </si>
  <si>
    <t>Бульбашковий зволожувач Intersurgical Aqufiow з ємністю; Кисневий з'єднювач, подвійна зовнішня різьба</t>
  </si>
  <si>
    <t>Вiдеоендоскопiчний комплекс у складі (НК 024:2019-35616 - Система ендоскопічної візуалізації); Лапароскопічний набір для хірургічних процедур ((НК 024:2019-32043 - Лапароскопічний набір для хірургічних процедур, немедикаментозний, багаторазовий); Електрохірургічний апарат (НК 024:2019-44776 - Електрохірургічна система)</t>
  </si>
  <si>
    <t>ВОВЧИНА ЗІНОВІЙ ІВАНОВИЧ</t>
  </si>
  <si>
    <t>ВОШИК ЛЮБОВ МИХАЙЛІВНА</t>
  </si>
  <si>
    <t>Відкриті торги</t>
  </si>
  <si>
    <t>ГАВРИЛЮК ЄВГЕН ЮРІЙОВИЧ</t>
  </si>
  <si>
    <t>ГЛАДЧЕНКО МАРІЯ ІВАНІВНА</t>
  </si>
  <si>
    <t>ГНАТКІВ АНАТОЛІЙ ІГОРОВИЧ</t>
  </si>
  <si>
    <t>ГОЖИЙ КОСТЯНТИН МИКОЛАЙОВИЧ</t>
  </si>
  <si>
    <t>ГУК РОСТИСЛАВ ЯРОСЛАВОВИЧ</t>
  </si>
  <si>
    <t>ГУРБА ПАВЛО ВОЛОДИМИРОВИЧ</t>
  </si>
  <si>
    <t>ГУРБА РОМАН ВОЛОДИМИРОВИЧ</t>
  </si>
  <si>
    <t>ГУРКАВЕЦЬ АНДРІЙ МИКОЛАЙОВИЧ</t>
  </si>
  <si>
    <t>Гурба Вікторія Олегівна</t>
  </si>
  <si>
    <t>Д73/253/21</t>
  </si>
  <si>
    <t>ДАНЬКІВ МАРІЯ ВАСИЛІВНА</t>
  </si>
  <si>
    <t>ДЕМЧИШИН ОРИСЯ МАХАМАДКАРІМОВНА</t>
  </si>
  <si>
    <t>ДЕМЧУР ТАРАС ІЛЛІЧ</t>
  </si>
  <si>
    <t>ДЕРЖАВНА УСТАНОВА "ЛЬВІВСЬКИЙ ОБЛАСНИЙ  ЛАБОРАТОРНИЙ ЦЕНТР МІНІСТЕРСТВА ОХОРОНИ ЗДОРОВ'Я УКРАЇНИ"</t>
  </si>
  <si>
    <t>ДЕРЖАВНЕ ПІДПРИЄМСТВО "ЗАХІДНИЙ ЕКСПЕРТНО-ТЕХНІЧНИЙ ЦЕНТР ДЕРЖПРАЦІ"</t>
  </si>
  <si>
    <t>ДЕРЖАВНЕ ПІДПРИЄМСТВО "КІРОВОГРАДСЬКИЙ ЕКСПЕРТНО-ТЕХНІЧНИЙ ЦЕНТР ДЕРЖПРАЦІ"</t>
  </si>
  <si>
    <t>ДЕРЖАВНЕ ПІДПРИЄМСТВО "ЛЬВІВСЬКИЙ НАУКОВО-ВИРОБНИЧИЙ ЦЕНТР СТАНДАРТИЗАЦІЇ, МЕТРОЛОГІЇ ТА СЕРТИФІКАЦІЇ"</t>
  </si>
  <si>
    <t>ДЕРЖАВНЕ ПІДПРИЄМСТВО "ТЕРНОПІЛЬСЬКИЙ НАУКОВО-ВИРОБНИЧИЙ ЦЕНТР  СТАНДАРТИЗАЦІЇ, МЕТРОЛОГІЇ ТА СЕРТИФІКАЦІЇ"</t>
  </si>
  <si>
    <t>ДЕРЖАВНИЙ ВИЩИЙ НАВЧАЛЬНИЙ ЗАКЛАД "ДРОГОБИЦЬКИЙ МЕХАНІКО-ТЕХНОЛОГІЧНИЙ КОЛЕДЖ"</t>
  </si>
  <si>
    <t>ДМИТРОВИЧ  АНДРІЙ  ЗІНОВІЙОВИЧ</t>
  </si>
  <si>
    <t>ДОБОШ ОЛЕГ МИХАЙЛОВИЧ</t>
  </si>
  <si>
    <t>ДОЧІРНЄ ПІДПРИЄМСТВО "ДРОГОБИЦЬКИЙ МІСЬКИЙ ВІДДІЛ ПРОФІЛАКТИЧНОЇ ДЕЗИНФЕКЦІЇ"</t>
  </si>
  <si>
    <t>ДОЧІРНЄ ПІДПРИЄМСТВО "ФАРМАТРЕЙД"</t>
  </si>
  <si>
    <t>ДУМАЙЛО ОЛЕГ ВАСИЛЬОВИЧ</t>
  </si>
  <si>
    <t>Дата закінчення договору:</t>
  </si>
  <si>
    <t>Дата підписання договору:</t>
  </si>
  <si>
    <t>Дексемедетомідину гідрохлорид розчин для ін'єкцій, 200мкг/2мл (100мкг/мл), №25</t>
  </si>
  <si>
    <t>Дератизація приміщення лікарні; дезінфекція приміщення харчоблоків</t>
  </si>
  <si>
    <t>Диспансер туалетного паперу Джамбо білий СТАНДАРТ</t>
  </si>
  <si>
    <t>Ділюент (Ізотонічний розчин) Neo Diluent C (20л); Детергент (Миючий розчин) Neo Detergent C (20л); Лізуючий розчин Neo Lyse  C (1л); Миючий розчин Neo Cleaner 100 (0,1л); Контрольна кров СВС-3D, 2,0 мл (2,0 мл); Загальний білок (R1: 2x100 мл); ALBUMIN Альбумін (R1: 2x100 мл); Сечовина UV SL (R1: 1x200 мл     R2: 1x50 мл); URIC ACID SL Сечова кислота СР (R1: 1x100 мл    R2: 1x100 мл +      std); Креатинін 30 (R1: 5x24 мл      R2 1x30 + стандарт); GLUCOSE SL Глюкоза СР (R1: 1x500 мл); ALT/GPT-SL Аланін- амінотрансфераза (АЛТ)/ГПТ-СР (R1: 1x400 мл   R2: 1x100 мл); AST/GOT-SL Аспартат- амінотрансфераза (АСТ)/ГОТ-СР (R1: 1x400 мл   R2: 1x100 мл); CHOLESTEROL TOTAL SL Холестерин загальний СР (R1: 1x250 мл); GAMMA GT Гамма-ГТ (R1: 1x200 мл     R2: 1x50 мл); BILIRUBIN DIRECT Білірубін прямий (R1: 4x40 мл R2: 4x10 мл); BILIRUBIN TOTAL (B) Білірубін загальний (B) (R1: 4x10 мл R2: 4x40 мл); PRECISE NORM Контроль біохімічний норма (R1: 5x5 мл); PRECISE PATH Контроль біохімічний патологія (R1: 5х5 мл); а-Амілаза - EPS (1 x 40 мл) (1х40 мл); Bio-Ksel PT plus / Біо-Ксель плюс протромбіновий час (ПЧ) (5х8 мл); Bio-Ksel System APTTs /Біо-Ксель  Активований частковий тромбопластиновий час (АЧТЧ) (5х9 мл)(); Bio-Ksel System Normal /Біо-Ксель Контроль норма систем (10х1 мл); Test Cuvettes/Тестові кювети (500 шт./пакування)</t>
  </si>
  <si>
    <t>Еко-снєка (ПНР),20 кг ; Еко-снєка (ПНР), 14кг; колорекс (барвник); емаль біла 0,9 кг; емаль жовта 0,9 кг</t>
  </si>
  <si>
    <t>Еноксапарин р-н д/ін 0,4г №1</t>
  </si>
  <si>
    <t>ЖУК ІРИНА ЄВСТАХІЇВНА</t>
  </si>
  <si>
    <t>Жук Іван Костянтинович</t>
  </si>
  <si>
    <t>Журнал "Довідник головної медичної сестри 12 міс з 01.01.2022р";  е-журнал "Головбух:Медицина" (спецвипуск до журналу "Головбух"); е-журнал "Управління закладом охорони здоров'я" (спецвипуск до журналу "Управління закладом охорони здоров'я"); журнал "Управління закладом охорони здоров'я" 12 міс з 01.01. 2022р.</t>
  </si>
  <si>
    <t>Закупівля без використання електронної системи</t>
  </si>
  <si>
    <t>Засіб дезінфекційний "КвікДес " (вологі серветки) 100шт. з клапаном; Засіб дезінфекційний "БактеріоДез софт" Л/5000 мл</t>
  </si>
  <si>
    <t>Звіт створено 23 березня о 15:58 з використанням http://zakupki.prom.ua</t>
  </si>
  <si>
    <t>КІТ ВОЛОДИМИР ВОЛОДИМИРОВИЧ</t>
  </si>
  <si>
    <t>КАУКАЛОВ ОЛЕКСАНДР ІВАНОВИЧ</t>
  </si>
  <si>
    <t>КОЛЕКТИВНЕ ТОРГОВЕ ПІДПРИЄМСТВО "БУДМАТЕРІАЛИ"</t>
  </si>
  <si>
    <t>КОМУНАЛЬНЕ НЕКОМЕРЦІЙНЕ ПІДПРИЄМСТВО "ДРОГОБИЦЬКА МІСЬКА ЛІКАРНЯ № 5" ДРОГОБИЦЬКОЇ МІСЬКОЇ РАДИ</t>
  </si>
  <si>
    <t>КОМУНАЛЬНЕ НЕКОМЕРЦІЙНЕ ПІДПРИЄМСТВО "ДРОГОБИЦЬКА МІСЬКА ЛІКАРНЯ №3" ДРОГОБИЦЬКОЇ МІСЬКОЇ РАДИ</t>
  </si>
  <si>
    <t>КОМУНАЛЬНЕ НЕКОМЕРЦІЙНЕ ПІДПРИЄМСТВО ЛЬВІВСЬКОЇ ОБЛАСНОЇ РАДИ "ЛЬВІВСЬКА ОБЛАСНА КЛІНІЧНА ЛІКАРНЯ"</t>
  </si>
  <si>
    <t>КОМУНАЛЬНЕ ПІДПРИЄМСТВО "ДРОГОБИЧВОДОКАНАЛ" ДРОГОБИЦЬКОЇ МІСЬКОЇ РАДИ ЛЬВІВСЬКОЇ ОБЛАСТІ</t>
  </si>
  <si>
    <t>КОМУНАЛЬНЕ ПІДПРИЄМСТВО ЛЬВІВСЬКОЇ ОБЛАСНОЇ РАДИ "ДРОГОБИЦЬКЕ МІЖМІСЬКЕ БЮРО ТЕХНІЧНОЇ ІНВЕНТАРИЗАЦІЇ ТА ЕКСПЕРТНОЇ ОЦІНКИ"</t>
  </si>
  <si>
    <t>КОМУНАЛЬНИЙ ЗАКЛАД ЛЬВІВСЬКОЇ ОБЛАСНОЇ РАДИ ЛЬВІВСЬКИЙ МЕДИЧНИЙ ФАХОВИЙ КОЛЕДЖ ПІСЛЯДИПЛОМНОЇ ОСВІТИ</t>
  </si>
  <si>
    <t>КОПЧАК ОЛЕГ ІВАНОВИЧ</t>
  </si>
  <si>
    <t>КУДІН ЄВГЕН ВОЛОДИМИРОВИЧ</t>
  </si>
  <si>
    <t>КУХАР ВОЛОДИМИР ІВАНОВИЧ</t>
  </si>
  <si>
    <t>Кванадекс, концентрат для розчину для інфузій 100 мкг/мл по 2 мл в ампулі №5; Максіцин® , концентрат для розчину для нфузій 400 мг/ 20 мл, по 20 мл у флаконі; по 1 флакону в пачці з картону; Натрію хлорид розчин для інфузій 9 мг/мл по 100 мл ; Натрію хлорид розчин для інфузій 9 мг/мл по 200 мл; Розчин Рінгера розчин для інфузій по 200 мл; Сангера розчин для  ін'єкцій 100 мг/мл  по 10мл ампули №5; Суфер® розчин для внутрішньовенних ін'єкцій 20 мг/мл по 5 мл в ампулі №5; Флуконазол розчин для інфузій 2 мг/мл по 100 мл</t>
  </si>
  <si>
    <t>Код 021:2015-33600000-6 Фармацевтична продукція (фрелсі р-н д/ін. 2,5 мг/0,5 мл шприц №10, фармасулін Н р-н д/ін. 100МО/мл 5мл №1, фармасулін Н р-н д/ін. 100МО/мл 10мл №1, клексан р-н д/ін. 4000 МО шприц 0,4мл №10, європенем пор. д/п 500 мг №10, вомікайнд р-н д/ін 2 мг/мл 4 мл №4, вомікайнд р-н д/ін 2 мг/мл 2 мл №4)</t>
  </si>
  <si>
    <t>Код 021:2015-33600000-6 Фармацевтична продукція (фрелсі р-н д/ін. 2,5мг/0,5мл шприц №10, преднізолон р-н д/ін. 30мг 1мл №5)</t>
  </si>
  <si>
    <t>Код CPV</t>
  </si>
  <si>
    <t>Код ДК  021:2015-33600000-6 Фармацевтична продукція (лазолекс, р-н д/ін. 7,5мг/мл 2 мл №5, левоцин-Н р-н д/інф, 500 мг/100мл 150 мл)</t>
  </si>
  <si>
    <t>Код ДК 0212:2015-33190000-8 Медичне обладнання та вироби медичного призначення різні (термометр безконтактний інфрачервоний MDI901)</t>
  </si>
  <si>
    <t>Код ДК 021:2015 - 33120000-7 Системи реєстрації медичної інформації та дослідне обладнання (Швидкий тест на антиген COVID-19 (Код НК 024:2019-- Коронавірус (SARS-CoV), антигени IVD, набір, імунохроматографічний, експрес-аналіз))</t>
  </si>
  <si>
    <t>Код ДК 021:2015 - 33600000-6  Фармацевтична продукція (Левопро р-н д/інф 500 мг 150мл №1, Левопро р-н д/інф 500 мг 100мл №1, Євроцефтаз пор.д/п ін.р-ну 1000+125 мг №1, Єврозидим пор.д/п р-ну д/інг. 1г №10,Вомікайнд р-н д/ін. 2 мг/мл 4мл №4, Вомікайнд р-н д/ін. 2 мг/мл 2мл №4, Бліцеф пор.д/інф. 1г №10)</t>
  </si>
  <si>
    <t>Код ДК 021:2015 - 37820000-2 Приладдя для образотворчого мистецтва (папір А4 80 IQ Pas MG28 (зелений) )</t>
  </si>
  <si>
    <t>Код ДК 021:2015 - 50850000-8 Послуги з ремонту і технічного обслуговування меблів (послуги з ремонту та реставрації крісел (21 шт))</t>
  </si>
  <si>
    <t>Код ДК 021:2015 - 71310000-4 Консультаційні послуги у галузях інженерії та будівництва (вимірювання опору захисного заземлення та ізоляції ел. проводки, випробовування електрозахисних ізолюючих засобів )</t>
  </si>
  <si>
    <t>Код ДК 021:2015 - 71630000-3 Послуги з технічного огляду та випробовувань (повторне обстеження будівлі за адресою: м. Стебник, вул. Січових Стрільців,2, в частині доступності осіб з інвалідністю та інших маломобільних груп населення)</t>
  </si>
  <si>
    <t>Код ДК 021:2015 -33600000-6 Фармацевтична продукція (ПКО Тіопентал ліоф. д/р-ну д/ін 0,5г, ПКО Пропофол- Ліпуро емул. д/інф. 1% 10мг/мл 20 мл №5, ПКО Пропофол емул. д/ін. 10/20 мл №5)</t>
  </si>
  <si>
    <t>Код ДК 021:2015 -33600000-6 Фармацевтична продукція (Солу-Медрол пор.та розч. д/р-ну д/ін. 125 мг/2 мл фл. Act-O-Vial №1)</t>
  </si>
  <si>
    <t>Код ДК 021:2015 – 33120000-7 – Системи реєстрації медичної інформації та дослідне обладнання (Тест на виявлення Тропоніну І (Код НК 024:2019-53998 - Тропонін Т / Тропонін I IVD, набір, імунохроматографічний аналіз (ІХА), експрес-тест), Тест для виявлення антитіл до ВІЛ 1/2 (HIV 1/2) (Код НК 024:2019-30833 — Швидкий тестовий пристрій для ідентифікації вірусу 1,2 імунодефіциту людини), Тест для виявлення Гепатиту С (HCV) (Код НК 024:2019-30829 - Набір для якісного та / або кількісного визначення загальних антитіл до вірусу гепатиту С (Hepatitis C), експрес-аналіз), Тест для виявлення Гепатиту В (HBsAg) (Код НК 024:2019-30830 - Швидкий тестовий пристрій для ідентифікації поверхневого антигену вірусу гепатиту В (HBsAg)) Тест д/визн. вагітн. Express test (Експрес тест) №1(Код НК 024:2019-44325 - Набір для визначення специфічного білка-1 вагітності), Тест Cito Test H.Pylori-Transferrin для визначення антигену Хелікобактер Пілорі і трансферину в фекаліях (Код НК 024:2019-37727 - Комплект для виявлення кишкової палички))</t>
  </si>
  <si>
    <t>Код ДК 021:2015 – 33120000-7 – Системи реєстрації медичної інформації та дослідне обладнання (Тест-смужки (НК 024:2019- 58168 Система контролю рівня глюкози в крові /кетонів ІВД для домашнього використання/ пункті догляду))</t>
  </si>
  <si>
    <t>Код ДК 021:2015 – 33190000-8 – Медичне обладнання та вироби медичного призначення різні (код НК 024:2019 – 42585 – Пробірка вакуумна для взяття зразків крові, з цитратом натрію, IVD, НК 024:2019: 47590 – Пробірка вакуумна для відбору зразків крові IVD, без добавок, код НК 024:2019 - 41128 – Пробірка вакуумна для взяття зразків крові IVD, з активатором згортання і гелем для розділення, пробірка для визначення ШОЕ (Код НК 024:2019 – 42585 Пробірка вакуумна для взяття зразків крові, з цитратом натрію, IVD)</t>
  </si>
  <si>
    <t>Код ДК 021:2015 – 33600000-6 – Фармацевтична продукція (Дексемедетомідину гідрохлорид розчин для ін'єкцій, 200мкг/2мл (100мкг/мл), №25)</t>
  </si>
  <si>
    <t xml:space="preserve">Код ДК 021:2015 – 33690000-3 – Лікарські засоби різні (реактиви для автоматичного гематологічного аналізатора Phoenix - NCC 3300, автоматичного біохімічного аналізатора NeoChem 100, напівавтоматичного коагулометра СС-4000 (код НК 024:2019 – 61165 – Реагент для лізису клітин крові, ІВД, код НК 024:2019 – 58237 – Буферний розчинник зразків, ІВД, автоматичні/напівавтоматичні системи, код НК 024:2019 – 42651 – Буферний ізотонічний сольовий розчин, IVD, код НК 024:2019 – 59058 – Миючий/очищуючий розчин, ІВД для автоматизованих/напівавтоматизованих систем, код НК 024:2019 – 55866 – Підрахунок клітин крові, IVD контрольний матеріал, код НК 024:2019 – 59058 – Миючий/ очищуючий розчин ІВД, для автоматизованих/полуавтоматізіванних систем, Кислотний промивний розчин для автоматичного біохімічного аналізатора, НК 024:2019: 30181 – Набір реагентів для вимірювання загальних білків (Білок (загальний), НК 024:2019: 30155 – Набір реагентів для вимірювання альбуміну (Альбумін), код НК 024:2019 – 53587 – Сечовина (Urea) IVD, набір, ферментний спектрофотометричний аналіз, Діагностичний набір для визначення концентрації сечовини, код НК 024:2019 – 53583 Сечова кислота IVD, набір, ферментний спектрофотометричний аналіз, код НК 024:2019 – 53251 – «Креатинін IVD, набір, спектрофотометричний аналіз», код НК 024:2019 – 30167 - Набір реагентів для вимірювання глюкози, код НК 024:2019 – 38556 – Набір аланін-амінотрансферази (Аланінамінотрансфераза (АЛТ), код НК 024:2019 – 38499 – Комплект для визначення активності аспартат амінотрансферази (Аспартатамінотрансфераза (АСТ), код НК 024:2019 – 53359 Загальний холестерин IVD, набір, ферментний спектрофотометричний аналіз, код НК 024:2019 – 30157 - Набір реагентів для вимірювання білірубіну, код НК 024:2019 – 30211 -Набір реагентів для вимірювання компонентів у сироватці, код НК 52941 Набір реагентів для вимірювання Загальної амілази, код НК 024:2019 - 55983 — Протромбіновий час (ПВ) IVD, набір, аналіз утворення згустку, код НК 024:2019 – 55981 - Активований частковий тромбопластиновий час IVD, набір,аналіз утворення згустку, код НК 024:2019 - 55996 - Численні фактори згортання IVD, набір, аналіз утворення згустку, код НК 024:2019 - 61032 Кювету для лабораторного аналізатора ІВД, одноразового використання)) </t>
  </si>
  <si>
    <t>Код ДК 021:2015- 22450000-9 Друкована продукція з елементами захисту (бланки суворої звітності)</t>
  </si>
  <si>
    <t>Код ДК 021:2015- 22450000-9 Друкована продукція з елементами захисту (рецептурні бланки Ф-3 серія ЯЮ (№818801-818900))</t>
  </si>
  <si>
    <t>Код ДК 021:2015- 30140000-2 Лічильна та обчислювальна техніка (калькулятор CITIZEN D-312 (1201-BK)</t>
  </si>
  <si>
    <t>Код ДК 021:2015- 30140000-2 Лічильна та обчислювальна техніка (калькулятор CITIZEN D-312( 1201-BK, калькулятор BRILLIANT BS-222)</t>
  </si>
  <si>
    <t>Код ДК 021:2015- 33600000-6 Фармацевтична продукція (біовен р-н д/інф. 10% 100 мл №1)</t>
  </si>
  <si>
    <t>Код ДК 021:2015- 33690000-3 – Лікарські засоби різні (код НК 024:2019 – 38556 – Набір аланін-амінотрансферази (Аланінамінотрансфераза (АЛТ); код НК 024:2019 – 38499 – Комплект для визначення активності аспартат амінотрансферази (Аспартатамінотрансфераза (АСТ); код НК 024:2019 – 53229 – Загальний білірубін IVD, набір, спектрофотометричний аналіз (Білірубін Загальний), код НК 024:2019 – 59090 – Набір реагентів для вимірювання глікозированого гемоглобіну (Глікозильований гемоглобін (HbA1c), НК 024:2019 – 53359 – Загальний холестерин IVD, набір, ферментний спектрофотометричний аналіз , НК 024:2019 – 53393 – Холестерин ліпопротеїнів високої щільності IVD, реагент; НК 024:2019 – 53398 – Холестерин ліпопротеїнів низької щільності IVD, реагент, НК 024:2019: 30155 – Набір реагентів для вимірювання альбуміну (Альбумін), НК 024:2019: 30181 – Набір реагентів для вимірювання загальних білків (Білок (загальний), НК 024:2019: 30167 – Набір реагентів для вимірювання глюкози, код НК 024:2019 – 52941 – Загальна амілаза IVD, реагент, код НК 024:2019 – 53587 – Сечовина (Urea) IVD, набір, ферментний спектрофотометричний аналіз, код НК 024:2019 – 53251 – «Креатинін IVD, набір, спектрофотометричний аналіз», Діагностичний набір для визначення ЛПНЩ прямого; код НК 024:2019 – 44696 - Холестерин ліпопротеїнів високої щільності (ЛПВЩ), калібратор, IVD, код НК 024:2019 – 41728 - Холестерин IVD низького тиску ліпопротеїнів (ЛПНЩ), калібратор, Холестерину ЛПВЩ/ЛПНЩ калібратор; НК 024-2019:553705 – C-реактивний білок (СРБ) IVD, набір, нефелометричний/турбідимеуричний аналіз, НК 024:2019: 53718 – Феритин IVD, набір, нефелометричний / турбідиметричний аналіз, код НК 024:2019 – 53462 – Тригліцериди IVD, реагент, код НК 024:2019 – 61165 – Реагент для лізису клітин крові, ІВД, код НК 024:2019 – 58237 – Буферний рзчинник зразків, ІВД, автоматичні/напівавтоматичні системи, код НК 024:2019 – 42651 – Буферний ізотонічний сольовий розчин, IVD, код НК 024:2019 – 59058 – Миючий/очищуючий розчин, ІВД для автоматизованих/напівавтоматизованих систем, код НК 024:2019 – 47869 – Множинні аналіти клінічної хімії, ІВД контрольний матеріал, код НК 024:2019 – 30216 – Багатокомпонентний калібратор клінічної хімії, Мультикалібратор, код НК 024:2019 – 55866 – Підрахунок клітин крові, IVD контрольний матеріал, код НК 024:2019 – 53251 – «Креатинін IVD, набір, спектрофотометричний аналіз», код НК 024:2019 – 59058 – Миючий/ очищуючий розчин ІВД, для автоматизованих/полуавтоматізіванних систем, Кислотний промивний розчин для автоматичного біохімічного аналізатора, Тест смужки для сечового аналізатора (НК 024:2019 – 54514 – Числені аналіти сечі IVD, набір, колориметрична тест-смужка, експрес-аналіз))</t>
  </si>
  <si>
    <t>Код ДК 021:2015- 39514400-2 Диспенсери для рушників (Диспансер паперових рушників економ. на 200 арк. білий)</t>
  </si>
  <si>
    <t>Код ДК 021:2015- 50410000-2 Послуги з ремонту і технічного обслуговування вимірювальних, випробувальних і контрольних приладів (послуги з повірки ЗР ЗВІТ, манометри кисневі робочі МК)</t>
  </si>
  <si>
    <t>Код ДК 021:2015- 51410000-9-Послуги зі встановлення медичного обладнання</t>
  </si>
  <si>
    <t>Код ДК 021:2015- 51410000-9: «Послуги зі встановлення медичного обладнання</t>
  </si>
  <si>
    <t>Код ДК 021:2015-03120000-8 Продукція рослинництва, у тому числі тепличного (фікус Моклейм, заміокалкас-В, заміокалкас Рейвін гігант, драцена Бік 3010, карделін Ред Стар, фікус Анастасія, кіпарис штамповий)</t>
  </si>
  <si>
    <t>Код ДК 021:2015-03142500-3 Яйця (Яйце куряче категорії С-1)</t>
  </si>
  <si>
    <t>Код ДК 021:2015-03142500-3 Яйця (яйце куряче категорії С-1)</t>
  </si>
  <si>
    <t>Код ДК 021:2015-03200000-3 Зернові культури, картопля, овочі, фрукти та горіхи (капуста ваг., картопля, буряк , морква, цибуля)</t>
  </si>
  <si>
    <t>Код ДК 021:2015-03200000-3 Зернові культури, картопля, овочі, фрукти та горіхи (капуста, картопля,буряк, морква, цибуля)</t>
  </si>
  <si>
    <t>Код ДК 021:2015-03220000-9 Овочі, фрукти та горіхи (буряк, морква, цибуля, капуста)</t>
  </si>
  <si>
    <t>Код ДК 021:2015-03220000-9 Овочі, фрукти та горіхи (морква, буряк, цибуля, капуста)</t>
  </si>
  <si>
    <t>Код ДК 021:2015-03450000-9 Розсадницька продукція (дерева, кущі)</t>
  </si>
  <si>
    <t>Код ДК 021:2015-09120000-6 Газове паливо (природний газ)</t>
  </si>
  <si>
    <t>Код ДК 021:2015-09130000-9 Нафта і дистиляти (бензин А-95, А-92, дизельне паливо)</t>
  </si>
  <si>
    <t>Код ДК 021:2015-09210000-4 Мастильні засоби</t>
  </si>
  <si>
    <t>Код ДК 021:2015-09210000-4 Мастильні засоби (масло Shtil, олива М-10, мастило NM-40)</t>
  </si>
  <si>
    <t>Код ДК 021:2015-09210000-4 Мастильні засоби (олива М-10 для змазки ланцюгів до бензопил 1,5 л, масло двоконтактне WERK)</t>
  </si>
  <si>
    <t>Код ДК 021:2015-09210000-4 Мастильні засоби (олива М-10 для змазки ланцюгів до бензопили 1,5л, масло НР 1л, масло Stihl)</t>
  </si>
  <si>
    <t>Код ДК 021:2015-09210000-4 Мастильні засоби (паста 65 гр, 150 грн (уніпак), спрей багатофункціональний 450 мл, олива Юкойл 10w-40)</t>
  </si>
  <si>
    <t xml:space="preserve">Код ДК 021:2015-09310000-5 Електрична енергія </t>
  </si>
  <si>
    <t>Код ДК 021:2015-09310000-5 Електрична енергія (Електрична енергія)</t>
  </si>
  <si>
    <t>Код ДК 021:2015-09320000-8 Пара, гаряча вода та пов’язана продукція</t>
  </si>
  <si>
    <t xml:space="preserve">Код ДК 021:2015-09320000-8 Пара, гаряча вода та пов’язана продукція </t>
  </si>
  <si>
    <t>Код ДК 021:2015-14210000-6 Гравій, пісок, щебінь і наповнювачі (грунтосуміш 7 л, субстракт для пальм 5 л, дренаж 3л)</t>
  </si>
  <si>
    <t>Код ДК 021:2015-14210000-6 Гравій, пісок, щебінь і наповнювачі (щебінь ф. 20-40)</t>
  </si>
  <si>
    <t>Код ДК 021:2015-14622000-7 Сталь (лист рифлений 3 мм)</t>
  </si>
  <si>
    <t>Код ДК 021:2015-14810000-2 Абразивні вироби (диск алмазний Сегмент 125*22, 2 мм, диск відрізний по металу 230*22,23*2,0 мм, 125*22,23*1,0 мм )</t>
  </si>
  <si>
    <t>Код ДК 021:2015-14810000-2 Абразивні вироби (диск відрізний по металу)</t>
  </si>
  <si>
    <t>Код ДК 021:2015-14810000-2 Абразивні вироби (диск відрізний)</t>
  </si>
  <si>
    <t>Код ДК 021:2015-14810000-2 Абразивні вироби (диск для циркулярної плити 125*24Т*22,2Н СТ-3013)</t>
  </si>
  <si>
    <t xml:space="preserve">Код ДК 021:2015-15100000-9 Продукція тваринництва, м’ясо та м’ясопродукти (М’ясо свинини, філе куряче, м’ясо свійської птиці свіже, охолоджене (тушки курей)) </t>
  </si>
  <si>
    <t>Код ДК 021:2015-15100000-9 Продукція тваринництва, м’ясо та м’ясопродукти (м'ясо свинини)</t>
  </si>
  <si>
    <t>Код ДК 021:2015-15100000-9 Продукція тваринництва, м’ясо та м’ясопродукти (м'ясо свинини, філе куряче, м'ясо свійської птиці свіже, охолоджене (тушки курей))</t>
  </si>
  <si>
    <t>Код ДК 021:2015-15130000-8 М’ясопродукти (сосиски Філейні Бащинського, ваг )</t>
  </si>
  <si>
    <t>Код ДК 021:2015-15130000-8 М’ясопродукти (фарш яловичий)</t>
  </si>
  <si>
    <t>Код ДК 021:2015-15210000-3 Рибні філе, печінка та ікра (філе рибне (мінтай) ваг)</t>
  </si>
  <si>
    <t>Код ДК 021:2015-15220000-6 Риба, рибне філе та інше м’ясо риби морожені (тушка хека)</t>
  </si>
  <si>
    <t>Код ДК 021:2015-15220000-6 Риба, рибне філе та інше м’ясо риби морожені (тушки хека)</t>
  </si>
  <si>
    <t>Код ДК 021:2015-15310000-4 Картопля та картопляні вироби (картопля)</t>
  </si>
  <si>
    <t>Код ДК 021:2015-15330000-0 Оброблені фрукти та овочі (15331461-6- консервована квашена капуста)</t>
  </si>
  <si>
    <t>Код ДК 021:2015-15330000-0 Оброблені фрукти та овочі (квашена капуста)</t>
  </si>
  <si>
    <t>Код ДК 021:2015-15330000-0 Оброблені фрукти та овочі (консервована квашена капуста)</t>
  </si>
  <si>
    <t>Код ДК 021:2015-15330000-0 Оброблені фрукти та овочі (томатна паста "Гаманець" 490г, соус томатний "Джміль"500г)</t>
  </si>
  <si>
    <t>Код ДК 021:2015-15400000-2 Олії та тваринні і рослинні жири (Олія "Ранок"1л, олія "Аро" 0,820)</t>
  </si>
  <si>
    <t>Код ДК 021:2015-15400000-2 Олії та тваринні і рослинні жири (олія рафінована Аро 0,945 л)</t>
  </si>
  <si>
    <t>Код ДК 021:2015-15420000-8 Рафіновані олії та жири (15421000-5-олія Соняшна рафінована, 0,920 л)</t>
  </si>
  <si>
    <t>Код ДК 021:2015-15420000-8 Рафіновані олії та жири (Олія соняшникова)</t>
  </si>
  <si>
    <t>Код ДК 021:2015-15420000-8 Рафіновані олії та жири(олія Чесний літр, 1л)</t>
  </si>
  <si>
    <t>Код ДК 021:2015-15500000-3 Молочні продукти (сметана 20%, масло, сир російський, ваг., молоко 2,5 )</t>
  </si>
  <si>
    <t>Код ДК 021:2015-15510000-6 Молоко та вершки (молоко Волошкове поле 2,5% 900 мл)</t>
  </si>
  <si>
    <t>Код ДК 021:2015-15510000-6 Молоко та вершки (молоко Волошкове поле 2,5%, 900мл)</t>
  </si>
  <si>
    <t>Код ДК 021:2015-15510000-6 Молоко та вершки (молоко)</t>
  </si>
  <si>
    <t>Код ДК 021:2015-15530000-2 Вершкове масло</t>
  </si>
  <si>
    <t xml:space="preserve">Код ДК 021:2015-15530000-2 Вершкове масло (Масло вершкове вагове (жирність не нижче 72,5%) </t>
  </si>
  <si>
    <t>Код ДК 021:2015-15530000-2 Вершкове масло (масло Дубно, ваг.)</t>
  </si>
  <si>
    <t>Код ДК 021:2015-15540000-5 Сирні продукти (Сир твердий 50-60% жирності)</t>
  </si>
  <si>
    <t>Код ДК 021:2015-15540000-5 Сирні продукти (сир Російський)</t>
  </si>
  <si>
    <t>Код ДК 021:2015-15540000-5 Сирні продукти (сир твердий)</t>
  </si>
  <si>
    <t>Код ДК 021:2015-15550000-8 Молочні продукти різні (сметана 21% Самбірська, 400г)</t>
  </si>
  <si>
    <t>Код ДК 021:2015-15550000-8 Молочні продукти різні (сметана Самбірська 21%, 400 мл)</t>
  </si>
  <si>
    <t>Код ДК 021:2015-15600000-4 Продукція борошномельно-круп’яної промисловості, крохмалі та крохмалепродукти (борошно Міліно в/г 5 кг)</t>
  </si>
  <si>
    <t>Код ДК 021:2015-15600000-4 Продукція борошномельно-круп’яної промисловості, крохмалі та крохмалепродукти (борошно); Код ДК 021:2015-15600000-4 Продукція борошномельно-круп’яної промисловості, крохмалі та крохмалепродукти (крупа перлова); Код ДК 021:2015-15600000-4 Продукція борошномельно-круп’яної промисловості, крохмалі та крохмалепродукти (рис довгий); Код ДК 021:2015-15600000-4 Продукція борошномельно-круп’яної промисловості, крохмалі та крохмалепродукти (крупа ячмінна); Код ДК 021:2015-15600000-4 Продукція борошномельно-круп’яної промисловості, крохмалі та крохмалепродукти (крупа манна); Код ДК 021:2015-15600000-4 Продукція борошномельно-круп’яної промисловості, крохмалі та крохмалепродукти (гречка); Код ДК 021:2015-15600000-4 Продукція борошномельно-круп’яної промисловості, крохмалі та крохмалепродукти (горох жовтий)</t>
  </si>
  <si>
    <t>Код ДК 021:2015-15600000-4 Продукція борошномельно-круп’яної промисловості, крохмалі та крохмалепродукти (борошно, крупа перлова, рис довгий, крупа ячмінна, крупа манна, гречка, горох жовтий)</t>
  </si>
  <si>
    <t>Код ДК 021:2015-15600000-4 Продукція борошномельно-круп’яної промисловості, крохмалі та крохмалепродукти (крупа ячмінна, пшоно)</t>
  </si>
  <si>
    <t>Код ДК 021:2015-15600000-4 Продукція борошномельно-круп’яної промисловості, крохмалі та крохмалепродукти (крупа ячмінна, пшоно, горох жовтий)</t>
  </si>
  <si>
    <t>Код ДК 021:2015-15600000-4 Продукція борошномельно-круп’яної промисловості, крохмалі та крохмалепродукти (крупи: гречка, рис, ячмінна, манна, вівсяні пластівці, пшоно, перлова, борошно в/г)</t>
  </si>
  <si>
    <t>Код ДК 021:2015-15600000-4 Продукція борошномельно-круп’яної промисловості, крохмалі та крохмалепродукти (рис довгий Корал, ваг, гречка, ваг.)</t>
  </si>
  <si>
    <t>Код ДК 021:2015-15610000-7 Продукція борошномельно-круп'яної промисловості (борошно Міліно в/г 5 кг)</t>
  </si>
  <si>
    <t>Код ДК 021:2015-15610000-7 Продукція борошномельно-круп'яної промисловості (вівсяні пластівці Джміль 1 кг)</t>
  </si>
  <si>
    <t>Код ДК 021:2015-15610000-7 Продукція борошномельно-круп'яної промисловості (крупа ячмінна, крупа пшоно, крупа манна, плавтівці вівсяні, гречка, рис довгий, рис круглий, горох жовтий, борошно)</t>
  </si>
  <si>
    <t>Код ДК 021:2015-15610000-7 Продукція борошномельно-круп'яної промисловості (пластівці вівсяні Джімль)</t>
  </si>
  <si>
    <t>Код ДК 021:2015-15620000-0 Крохмалі та крохмалепродукти (крупа манна)</t>
  </si>
  <si>
    <t>Код ДК 021:2015-15800000-6 Продукти харчування різні (хліб Меденичі Володар 0,6 кг); Код ДК 021:2015-15800000-6 Продукти харчування різні (макарони "Рішельє" 1/900г)</t>
  </si>
  <si>
    <t>Код ДК 021:2015-15800000-6 Продукти харчування різні (хліб Меденичі Володар 0,6 кг, макарони "Рішельє" 1/900)</t>
  </si>
  <si>
    <t>Код ДК 021:2015-15800000-6 Продукти харчування різні (хліб, сухарі, оцет, цукор, макарони, сіль, чай)</t>
  </si>
  <si>
    <t>Код ДК 021:2015-15810000-9 Хлібопродукти, свіжовипечені хлібобулочні та кондитерські вироби (Хліб пшеничний першого ґатунку)</t>
  </si>
  <si>
    <t>Код ДК 021:2015-15810000-9 Хлібопродукти, свіжовипечені хлібобулочні та кондитерські вироби (хліб Меденичі 0,6 кг)</t>
  </si>
  <si>
    <t>Код ДК 021:2015-15810000-9 Хлібопродукти, свіжовипечені хлібобулочні та кондитерські вироби (хліб Меденичі Володар 0,6 кг)</t>
  </si>
  <si>
    <t>Код ДК 021:2015-15810000-9 Хлібопродукти, свіжовипечені хлібобулочні та кондитерські вироби (хліб Меденичі Володар 0,6кг)</t>
  </si>
  <si>
    <t>Код ДК 021:2015-15810000-9 Хлібопродукти, свіжовипечені хлібобулочні та кондитерські вироби (хліб різаний Меденичі Володар 0,6 кг)</t>
  </si>
  <si>
    <t>Код ДК 021:2015-15820000-2 Сухарі та печиво; пресерви з хлібобулочних і кондитерських виробів (сухарі "Сто пудів", 200г)</t>
  </si>
  <si>
    <t>Код ДК 021:2015-15820000-2 Сухарі та печиво; пресерви з хлібобулочних і кондитерських виробів (сухаріСто пудів 200г)</t>
  </si>
  <si>
    <t>Код ДК 021:2015-15830000-5 Цукор і супутня продукція (цукор ваговий)</t>
  </si>
  <si>
    <t>Код ДК 021:2015-15830000-5 Цукор і супутня продукція (цукор)</t>
  </si>
  <si>
    <t>Код ДК 021:2015-15850000-1 Макаронні вироби (Макарони)</t>
  </si>
  <si>
    <t>Код ДК 021:2015-15850000-1 Макаронні вироби (макарони Віліс, 1 кг)</t>
  </si>
  <si>
    <t>Код ДК 021:2015-15850000-1 Макаронні вироби (макарони Віліс, 1кг)</t>
  </si>
  <si>
    <t>Код ДК 021:2015-15860000-4 Кава, чай та супутня продукція (Чай чорний " Ріоба 250 ")</t>
  </si>
  <si>
    <t>Код ДК 021:2015-15860000-4 Кава, чай та супутня продукція (чай Ріоба 250 г в асортименті)</t>
  </si>
  <si>
    <t>Код ДК 021:2015-15860000-4 Кава, чай та супутня продукція (чай Ріоба в асортименті )</t>
  </si>
  <si>
    <t>Код ДК 021:2015-15860000-4 Кава, чай та супутня продукція (чай чорний 250г)</t>
  </si>
  <si>
    <t>Код ДК 021:2015-15860000-4 Кава, чай та супутня продукція (чай чорний Ріоба 250)</t>
  </si>
  <si>
    <t>Код ДК 021:2015-15870000-7 Заправки та приправи (оцет харчовий 9% Рішельє)</t>
  </si>
  <si>
    <t>Код ДК 021:2015-15870000-7 Заправки та приправи (сіль йодована кам'яна 1 кг)</t>
  </si>
  <si>
    <t>Код ДК 021:2015-15870000-7 Заправки та приправи (сіль кухонна кам'яна)</t>
  </si>
  <si>
    <t>Код ДК 021:2015-15870000-7 Заправки та приправи (томатна паста '' МакМай" 480 скло 25%)</t>
  </si>
  <si>
    <t>Код ДК 021:2015-15870000-7 Заправки та приправи (томатна паста Гаманець 490 г)</t>
  </si>
  <si>
    <t>Код ДК 021:2015-15870000-7 Заправки та приправи (томатна паста Гаманець 490г)</t>
  </si>
  <si>
    <t>Код ДК 021:2015-15870000-7 Заправки та приправи (томатна паста Рішельє 480 г)</t>
  </si>
  <si>
    <t>Код ДК 021:2015-15870000-7 Заправки та приправи (томатна пастаГаманець 490 г)</t>
  </si>
  <si>
    <t>Код ДК 021:2015-16310000-1 Косарки (бензотример Sparta 4.0 КВт)</t>
  </si>
  <si>
    <t>Код ДК 021:2015-16810000-6 Частини для сільськогосподарської техніки (колесо безкамерне)</t>
  </si>
  <si>
    <t>Код ДК 021:2015-16810000-6 Частини для сільськогосподарської техніки (лєска для тримера 2,4 мм, косильна головка для тримера з цепю У-83, косильна головка для тримера DK-1216)</t>
  </si>
  <si>
    <t>Код ДК 021:2015-16810000-6 Частини для сільськогосподарської техніки (лєска до касарки)</t>
  </si>
  <si>
    <t>Код ДК 021:2015-18130000-9 Спеціальний робочий одяг (штани, куртка, шапка)</t>
  </si>
  <si>
    <t>Код ДК 021:2015-18140000-2 Аксесуари до робочого одягу (рукавиці ПВХ оранжеві р 10 Р (115) клас 10 (уп. 10пар), рукавиці ПВХ сині р.10, рукавиці ПВХ чорні з двох сторін р 10 Р клас 10)</t>
  </si>
  <si>
    <t>Код ДК 021:2015-18140000-2 Аксесуари до робочого одягу (рукавиці ПВХ оранжеві р10, сині р.10, червоні р.10, чорні р.10, рукавиці з крапками білі садові)</t>
  </si>
  <si>
    <t>Код ДК 021:2015-18140000-2 Аксесуари до робочого одягу (рукавиці ПВХ)</t>
  </si>
  <si>
    <t>Код ДК 021:2015-18140000-2 Аксесуари до робочого одягу (рукавиці чорні р.10, рукавиці ПВХ сині р.10, рукавиці в'язані чорні подвійні, рукавиці шкіряні утеплені, щиток захисний 280*230 мм пластик)</t>
  </si>
  <si>
    <t>Код ДК 021:2015-18140000-2 Аксесуари до робочого одягу(рукавиці)</t>
  </si>
  <si>
    <t>Код ДК 021:2015-18220000-7 Штормовий одяг (плащ-дощовик на блискавці)</t>
  </si>
  <si>
    <t>Код ДК 021:2015-18420000-9 Аксесуари для одягу (рукавиці господарські латексні)</t>
  </si>
  <si>
    <t>Код ДК 021:2015-18812200-6 Гумові чоботи (напівчоботи гумові жіночі)</t>
  </si>
  <si>
    <t>Код ДК 021:2015-18937000-6 Пакувальні мішки (мішки господарські)</t>
  </si>
  <si>
    <t xml:space="preserve">Код ДК 021:2015-19210000-1 Натуральні тканини (тканина вибивна текстильного полотняного переплетення з малюнком, 50,5/49,5 Голд Люкс) </t>
  </si>
  <si>
    <t>Код ДК 021:2015-19240000-0 Спеціальні тканини (шнур для білизни)</t>
  </si>
  <si>
    <t>Код ДК 021:2015-19430000-9 Пряжа та текстильні нитки з натуральних волокон (пакля по штучно 16,25 гр 1шт)</t>
  </si>
  <si>
    <t>Код ДК 021:2015-19430000-9 Пряжа та текстильні нитки з натуральних волокон (пакля)</t>
  </si>
  <si>
    <t>Код ДК 021:2015-19510000-4 Гумові вироби (прокладки 3/4)</t>
  </si>
  <si>
    <t>Код ДК 021:2015-19520000-7 Пластмасові вироби (Стенд з ПВХ 3 мм)</t>
  </si>
  <si>
    <t>Код ДК 021:2015-19520000-7 Пластмасові вироби (горщики для вазонів)</t>
  </si>
  <si>
    <t>Код ДК 021:2015-19520000-7 Пластмасові вироби (піддони для крапельдо дозатора, диспенсер паперових рушників, крнтейнер для мед. відходів)</t>
  </si>
  <si>
    <t>Код ДК 021:2015-19520000-7 Пластмасові вироби (табличка з прозорого акрилу 2мм+ск, плівка ламінована, плотерна порізка)</t>
  </si>
  <si>
    <t>Код ДК 021:2015-19520000-7 Пластмасові вироби (табличка на ПВХ)</t>
  </si>
  <si>
    <t>Код ДК 021:2015-19640000-4 Поліетиленові мішки та пакети для сміття (Мішки для сміття Міцні 60*20, Мішки д/сміття Чисто 35*30)</t>
  </si>
  <si>
    <t>Код ДК 021:2015-19640000-4 Поліетиленові мішки та пакети для сміття (мішки для сміття Чіко 120*10, мішки для сміття Чисто 35*30)</t>
  </si>
  <si>
    <t>Код ДК 021:2015-19640000-4 Поліетиленові мішки та пакети для сміття (мішки для сміття)</t>
  </si>
  <si>
    <t>Код ДК 021:2015-22210000-5 Газети (Журнал "Довідник головної медичної сестри 12 міс з 01.01.2022р", е-журнал "Головбух:Медицина" (спецвипуск до журналу "Головбух"), е-журнал "Управління закладом охорони здоров'я" (спецвипуск до журналу "Управління закладом охорони здоров'я"), журнал "Управління закладом охорони здоров'я" 12 міс з 01.01. 2022р. )</t>
  </si>
  <si>
    <t>Код ДК 021:2015-22210000-5 Газети (журнар "Радник в сфері державних закупівель")</t>
  </si>
  <si>
    <t>Код ДК 021:2015-22213000-6 Журнали (Е-журнал Держзакупівлі (спецвипуск до журналу Держзакупівлі))</t>
  </si>
  <si>
    <t>Код ДК 021:2015-22213000-6 Журнали (Е-журнал Управління закладом охорони здоров'я (спецвипуск до журналу Управління закладом охорони здоров'я №3 2021))</t>
  </si>
  <si>
    <t>Код ДК 021:2015-22450000-9 Друкована продукція з елементами захисту (бланки суворої звітності)</t>
  </si>
  <si>
    <t>Код ДК 021:2015-22820000-4 Бланки (дослідження крові на цукор, біохімічний аналіз крові)</t>
  </si>
  <si>
    <t>Код ДК 021:2015-22820000-4 Бланки (медичні бланки форми 122/о, особисті медичні книжки)</t>
  </si>
  <si>
    <t xml:space="preserve">Код ДК 021:2015-22900000-9 Друкована продукція різна </t>
  </si>
  <si>
    <t>Код ДК 021:2015-22900000-9 Друкована продукція різна (Брошура "Індивідуальна карта вагітної та породіллі" А4, брошура "Обмінна карта полового будинку" А5, "Виписка з амбулаторної карти", "Анкета вагітної", "Форма інформативної згоди")</t>
  </si>
  <si>
    <t>Код ДК 021:2015-22900000-9 Друкована продукція різна (Лист "Екстренне повідомлення про інф захворювання" А5, папір офсет 80 мг, Журнал "Обліку прийому хворих у стаціонар та відмов від госпіталізації" А4,200 арк. 1+1, блок газетний папір, обкладинка газений картон, кріплення скоба, журнал "Реєстрації ультразвукових досліджень" А4, 50арк., 1+1, папір офсет 80, кріплення скоба, обкладинка картон, медична карта огляду водія, 1+1 А5, папір офсет 80, журнал реєстрації заяв інвалідів, А4, папір офсет 80гр, друк 1+1,кріплення скоба, обкладинка картон, наклейка 250*50 мм )</t>
  </si>
  <si>
    <t>Код ДК 021:2015-22900000-9 Друкована продукція різна (журнал "Обліку прийому хворих в стаціонарі" (А4 друк 1+1, обкладинка  крейдований папір 300 гр папір офсетний 80гр 200 акрк, кріплення скоба, тираж 1 шт), журнал "Пеєстрація відносної вологості" А4 (друк 1+1, обкладинка  крейдований папір 300 гр папір офсет 80гр 25 акрк, кріплення скоба), "Виписка з амбулаторної карти", "Анкета вагітної", "Форма інформативної згоди" А4 1+1, папір офсет 80гр 3 акрк.)</t>
  </si>
  <si>
    <t>Код ДК 021:2015-22900000-9 Друкована продукція різна (журнал камерного знезараження речей, плівка з друком, журнал з реєстрації амбулаторних пацієнтів, журнал запису рентгендосліджень магніторезонансних досліджень)</t>
  </si>
  <si>
    <t>Код ДК 021:2015-22900000-9 Друкована продукція різна (журнал обліку прийому хворих 2шт 100ст, офсет 1+1 звичайна обкл, журнал обліку консультацій 2 шт 25ст., 50Ф3, офсет1+1, звичайна обкладинка)</t>
  </si>
  <si>
    <t>Код ДК 021:2015-22900000-9 Друкована продукція різна (журнал обліку прийому хворих у стаціонар 100ст, офсет звичайна обкл, журнал обліку консультацій 50ст., офсет, звичайна обкладинка)</t>
  </si>
  <si>
    <t>Код ДК 021:2015-22900000-9 Друкована продукція різна (журнал реєстрації біохімічних аналізів і їх результатів А4, дв. о 200 л, журнал реєстрації  аналізів коаулограм А4 дв. о, 200л)</t>
  </si>
  <si>
    <t>Код ДК 021:2015-22900000-9 Друкована продукція різна (журнал реєстрації довіреностей, формат А4, 100 арк., папір газетний, обкладинка-газетний картон, кріплення скоба, друк 1+1, вставний лист, розмір 148*594 мм, папір офсет 80, 2 фальца в намотку, друк 1+1, тираж 200 шт, книга обліку дорожніх листів легкого автомобіля, формат А4, 100 арк., папір офсет 80, обкладинка газетний картон, кріплення скоба, друк 1+1, журнал реєстрації добровільного перед та післятестової консультації, формат А4, 100 арк., папір офсет 80, обкладинка газетний картон, кріплення скоба, друк 1+1, набір тексту  )</t>
  </si>
  <si>
    <t>Код ДК 021:2015-22900000-9 Друкована продукція різна (медична карта амбулаторного хворого А5, журнал контролю за станом охорони праці А4, бланк "порційна вимога", бланк "Вимога №" А4, бланк "Роздачна відомість" А4, бланк "Меню розкладка" А3)</t>
  </si>
  <si>
    <t>Код ДК 021:2015-22900000-9 Друкована продукція різна (плівка з друком, журнал препаратів наркотичних засобів, бланки)</t>
  </si>
  <si>
    <t>Код ДК 021:2015-22900000-9 Друкована продукція різна (плівка з друком, журнал реєстрації листів непрацездатності, журнал обліку видачі запобіжних пристроїв)</t>
  </si>
  <si>
    <t>Код ДК 021:2015-22990000-6 Газетний папір, папір ручного виготовлення та інший некрейдований папір або картон для графічних цілей (стрічка діаграмна 80*20(16))</t>
  </si>
  <si>
    <t>Код ДК 021:2015-24110000-8 Промислові гази (Діоксид вуглецю (621) в балонах)</t>
  </si>
  <si>
    <t>Код ДК 021:2015-24110000-8 Промислові гази (кисень медичний газоподібний з газифікаторів холодних кріогенних)</t>
  </si>
  <si>
    <t>Код ДК 021:2015-24110000-8 Промислові гази (кисень медичний газоподібний)</t>
  </si>
  <si>
    <t>Код ДК 021:2015-24111900-4 Кисень (кисень газоподібний медичний, в балонах)</t>
  </si>
  <si>
    <t>Код ДК 021:2015-24320000-3 Основні органічні хімічні речовини (спирт етиловий 70% р-н , фл. скляний 100 мл №1, спирт етиловий 96% р-н , фл. скляний 100 мл №1 )</t>
  </si>
  <si>
    <t>Код ДК 021:2015-24320000-3 Основні органічні хімічні речовини (спирт етиловий 70% р-н 70% фл. скляний 100 мл №1)</t>
  </si>
  <si>
    <t>Код ДК 021:2015-24320000-3 Основні органічні хімічні речовини (спирт етиловий 70% р-н 70% фл. скляний 100 мл, спирт етиловий 96% р-н 96% фл. скляний 100 мл)</t>
  </si>
  <si>
    <t>Код ДК 021:2015-24320000-3 Основні органічні хімічні речовини (спирт етиловий 70% р-н 70% фл. скляний 100 мл. №0)</t>
  </si>
  <si>
    <t>Код ДК 021:2015-24320000-3 Основні органічні хімічні речовини (спирт етиловий 70%, фл. скляний 100 мл №1, спирт етиловий 96%, фл. скляний 100 мл №1)</t>
  </si>
  <si>
    <t>Код ДК 021:2015-24320000-3 Основні органічні хімічні речовини (формалін р-н 5 л)</t>
  </si>
  <si>
    <t>Код ДК 021:2015-24450000-3 Агрохімічна продукція (Корзолекс екстра (BODE) 2л)</t>
  </si>
  <si>
    <t>Код ДК 021:2015-24450000-3 Агрохімічна продукція (дезінфікуючий засіб Юсепт р-н 0,2 мг/мл по 200 мл)</t>
  </si>
  <si>
    <t>Код ДК 021:2015-24450000-3 Агрохімічна продукція (засіб дезінфікуючий ARMAXIL D1 (рідкий), 1л)</t>
  </si>
  <si>
    <t>Код ДК 021:2015-24455000-8 Дезинфекційні засоби (бланідас 300 табл. №300)</t>
  </si>
  <si>
    <t>Код ДК 021:2015-24455000-8 Дезинфекційні засоби (бодедекс форте, 5л, корзолекс екстра (BODE), 2л)</t>
  </si>
  <si>
    <t>Код ДК 021:2015-24455000-8 Дезинфекційні засоби (дезінфікуючий засіб "Дезовір", 100мл)</t>
  </si>
  <si>
    <t>Код ДК 021:2015-24455000-8 Дезинфекційні засоби (засіб антисептичний для дезінфекції рук та шкіри "Блискавка", рідина)</t>
  </si>
  <si>
    <t>Код ДК 021:2015-24455000-8 Дезинфекційні засоби (засіб дезінфекційний "КвікДес " (вологі серветки) 100шт. з клапаном, засіб дезінфекційний "БактеріоДез софт" Л/5000 мл)</t>
  </si>
  <si>
    <t>Код ДК 021:2015-24455000-8 Дезинфекційні засоби (засіб дезінфекційний "КвікДес" (вологі серветки) 100 шт з клапаном, засіб дезінфекційний "БактеріоДез софт" К/5000 мл)</t>
  </si>
  <si>
    <t>Код ДК 021:2015-24455000-8 Дезинфекційні засоби (засіб дезінфекційний "КвікДес" (вологі серветки) 100 шт з клапаном, засіб дезінфекційний "БактеріоДез софт" К/5000 мл, засіб дезінфекційний "ДезТАБ" 1 кг)</t>
  </si>
  <si>
    <t>Код ДК 021:2015-24455000-8 Дезинфекційні засоби (засіб дезінфекційний "КвікДес" (вологі серветки) 100 шт. з клапаном, засіб дезінфекційний  "СефДез софт"К/500мл, засіб дезінфекційний  ДезТАБ нью гранули з мірною ложкою 1кг)</t>
  </si>
  <si>
    <t>Код ДК 021:2015-24455000-8 Дезинфекційні засоби (засіб дезінфекційний "КвікДес" (вологі серветки) 100 шт. з клапаном, засіб дезінфекційний "СефДез софт"К/500мл)</t>
  </si>
  <si>
    <t>Код ДК 021:2015-24455000-8 Дезинфекційні засоби (засіб дезінфекційний "КвікДес" (вологі серветки) 100шт з клапаном, засіб дезінфекційний "БактеріозДезнью", 5л, засіб дезінфекційний "БактеріозДезсофт" К/5000 мл)</t>
  </si>
  <si>
    <t>Код ДК 021:2015-24455000-8 Дезинфекційні засоби (засіб дезінфекційний ARMAXIL D1 (рідкий), 1 л, засіб дезінфекційний ARMAXIL D1 (рідкий),5 л)</t>
  </si>
  <si>
    <t>Код ДК 021:2015-24455000-8 Дезинфекційні засоби (засіб дезінфікуючий "Бланідас 300К (Blanidas 300)" в таблетках (по 300 шт), Бланідас Софт Зет 5л)</t>
  </si>
  <si>
    <t>Код ДК 021:2015-24455000-8 Дезинфекційні засоби (засіб дезінфікуючий "Бланідас 300К (Blanidas 300)" в таблетках (по 300 шт), Бланідас Софт Зет 5л))</t>
  </si>
  <si>
    <t>Код ДК 021:2015-24590000-6 Силікони у первинній формі (силікон санітарний прозорий)</t>
  </si>
  <si>
    <t>Код ДК 021:2015-24910000-6 Клеї (клей "Церезіт", 5 кг, клей до гіпсокартону, 15кг)</t>
  </si>
  <si>
    <t>Код ДК 021:2015-24910000-6 Клеї (клей ПВА-Д 2,0 кг)</t>
  </si>
  <si>
    <t>Код ДК 021:2015-24910000-6 Клеї (клей ПСМ-11 Generous 25 кг) ; Код ДК 021:2015-24910000-6 Клеї (клей ПВА-Д 2 кг)</t>
  </si>
  <si>
    <t>Код ДК 021:2015-24910000-6 Клеї (клей ПСМ-11 Generous 25 кг, клей ПВА-Д 2 кг)</t>
  </si>
  <si>
    <t>Код ДК 021:2015-24910000-6 Клеї (клей до паркету 5,5 кг)</t>
  </si>
  <si>
    <t>Код ДК 021:2015-24910000-6 Клеї (силікон санітарний білий  320г, клей ПСМ-11, 25кг, клей ПСМ-ЕКО,25 кг)</t>
  </si>
  <si>
    <t>Код ДК 021:2015-24930000-2 Фотохімікати (плівка PFH-T Film (рулон) 110мм*30,5м Carestream Health, проявник для ручної обробки рентгенівської плівки, в каністрах по 5 л (на 25 л розчину), фіксаж для ручної обробки рентгенівської плівки, в каністрах по 5 л (на 25 л розчину))</t>
  </si>
  <si>
    <t>Код ДК 021:2015-24950000-8 Спеціалізована хімічна продукція (газ в балонах, газовий пальник)</t>
  </si>
  <si>
    <t>Код ДК 021:2015-24950000-8 Спеціалізована хімічна продукція (гель ЕЕГ 260гр)</t>
  </si>
  <si>
    <t>Код ДК 021:2015-24950000-8 Спеціалізована хімічна продукція (гель для УЗД Eco Supergel 1000 мл, гель для ЕКГ та УЗД 250 мл, гель для УЗД 5л)</t>
  </si>
  <si>
    <t>Код ДК 021:2015-24950000-8 Спеціалізована хімічна продукція (гель для узд, 1л)</t>
  </si>
  <si>
    <t>Код ДК 021:2015-24950000-8 Спеціалізована хімічна продукція (гель-пубрикант 260 мл)</t>
  </si>
  <si>
    <t>Код ДК 021:2015-24951120-2 Силіконова змазка</t>
  </si>
  <si>
    <t>Код ДК 021:2015-24960000-1 Хімічна продукція різна (антифриз ВАМП-40 червоний 5 кг)</t>
  </si>
  <si>
    <t>Код ДК 021:2015-30120000-6 Фотокопіювальне та поліграфічне обладнання для офсетного друку (БФП А4 Kyocera Ecosys FS-1020MFP)</t>
  </si>
  <si>
    <t>Код ДК 021:2015-30120000-6 Фотокопіювальне та поліграфічне обладнання для офсетного друку (картридж CANON 737 ColorWay, картридж Kyocera TK-1110, картридж Patron 725, картридж HP (CF244X)ColorWay)</t>
  </si>
  <si>
    <t>Код ДК 021:2015-30140000-2 Лічильна та обчислювальна техніка (калькулятор Brilliant BS-2222)</t>
  </si>
  <si>
    <t>Код ДК 021:2015-30190000-7 Офісне устаткування та приладдя різне</t>
  </si>
  <si>
    <t>Код ДК 021:2015-30190000-7 Офісне устаткування та приладдя різне (папка, зошит, блокнот, ручка гелева, маркер, скріпки, степлер, клей)</t>
  </si>
  <si>
    <t>Код ДК 021:2015-30190000-7 Офісне устаткування та приладдя різне (папір для СС 3003)</t>
  </si>
  <si>
    <t>Код ДК 021:2015-30190000-7 Офісне устаткування та приладдя різне (стрічка діаграмна 110*25)</t>
  </si>
  <si>
    <t>Код ДК 021:2015-30210000-4 Машини для обробки даних (апаратна частина) (ноутбук Lenovo V15-ADA 15.6 (1920*1080) AMD Athlon Gold 3150U/RAM 4 ГБ/SSD 128 ГБ/AMD Radeon Graphics/Wi-Fi/Bluetooth)</t>
  </si>
  <si>
    <t>Код ДК 021:2015-30230000-0 Комп’ютерне обладнання (Системний блок (корпус LogicPower LP S6055BK-400W; мат. плата Asus PRIME A320M-K (A320/sAM4); процесор AMD Athlon 3000G 2Core (3.5GHz, 4МВ, 35W) АМ4; оперативна пам'ять DDR4 RAM 4GB AMD 2400MHz; накопичувач SSD 2.5 120GB Apacer AS350 Panther), монітор 24 "Samsung S24R350F (IPS, 5мс, 1920*1080, 75 Hz, HDMI/VGA)", клавіатура Gembird KB-103 Black PS/2, мишка Gembird MUS-6B-01-BG USB сіро-чорна)</t>
  </si>
  <si>
    <t>Код ДК 021:2015-30230000-0 Комп’ютерне обладнання (клавіатура FrimeCom FC-501 Black USB, мережевий фільтр 1,8м Gembird 5 розеток, чорний, миша Gembird USB, USB Flash drive Kingston Exodia 32 GB)</t>
  </si>
  <si>
    <t>Код ДК 021:2015-30230000-0 Комп’ютерне обладнання (системний блок у складі:CPU Pentium G4560 3.5GH/Asua H110M-CS Bulk H110/DDR4 RAM8GB Apaser 2133MHz/SSD2.5 256GB Goodram/Корпус SlimDesk Top LogicPower LP S605BK, системний блок у складі: CPU Core i5-10400 6-CORE 2.90-4.30Gh/MSI H410 S1200 H410M-A PRO/DDR4 RAM 8GB Kingston/SSD2.5 256GB Goodram/Корпус SlimDesk Top LogicPower LP S605BK, монітор 21,5 Samsung S22F350 (TN 5 мс, 1920*1080. HDMI/VGA))</t>
  </si>
  <si>
    <t>Код ДК 021:2015-31150000-2 Баласти для розрядних ламп чи трубок (джерело безперебійного живлення Stark Pro II 2000)</t>
  </si>
  <si>
    <t>Код ДК 021:2015-31210000-1 Електрична апаратура для комутування та захисту електричних кіл (автомат ecomat 2п-16А С 10кА, автомат "MULLER" 2Ф-25А)</t>
  </si>
  <si>
    <t>Код ДК 021:2015-31210000-1 Електрична апаратура для комутування та захисту електричних кіл (автомат ecomat 3n-16F тип С10кА, бокс 3-6 авт. вимикач відкр. уст.)</t>
  </si>
  <si>
    <t>Код ДК 021:2015-31210000-1 Електрична апаратура для комутування та захисту електричних кіл (індикатор викрутка)</t>
  </si>
  <si>
    <t>Код ДК 021:2015-31220000-4 Елементи електричних схем</t>
  </si>
  <si>
    <t>Код ДК 021:2015-31220000-4 Елементи електричних схем (ВШ 16-016 вилка пряма з/з СВ-У, трійник, гофра захисна)</t>
  </si>
  <si>
    <t>Код ДК 021:2015-31220000-4 Елементи електричних схем (коробка під розетку, розетка одинарна)</t>
  </si>
  <si>
    <t>Код ДК 021:2015-31220000-4 Елементи електричних схем (провід ПВС 2*1,5, LR016-887 розетка зв. 2-а, LR016-890 розетка зв. 2-а з/з, LV010-875 вимикач зв 1-й, LV010-880 вимикач зв 2-й, ЕН-2110 розетка вн. 2-а ЕН, розетка вн. 2-на, ЕН-2101 вимикач 1-й вн, вимикач вн. 1-й, подовжувач на катушці 2*2,5; 5,5 м "Луч", подовжувач на катушці 2*1,5; 2м "Луч", ЕН-2216 продовжувач 4г 5м б/з)</t>
  </si>
  <si>
    <t>Код ДК 021:2015-31220000-4 Елементи електричних схем (провід ШВВП 2*1,5, вимикач вн 2-ий, ВШ 16-016 вилка пряма з/з СВ-У, продовжувач)</t>
  </si>
  <si>
    <t>Код ДК 021:2015-31220000-4 Елементи електричних схем (провід); Код ДК 021:2015-31220000-4 Елементи електричних схем (розетка, стартер, вимикач)</t>
  </si>
  <si>
    <t>Код ДК 021:2015-31220000-4 Елементи електричних схем (провід, розетка, стартер, вимикач)</t>
  </si>
  <si>
    <t>Код ДК 021:2015-31220000-4 Елементи електричних схем (розетка двійна б/з, вимикач подвійний, вимикач одинарний)</t>
  </si>
  <si>
    <t>Код ДК 021:2015-31220000-4 Елементи електричних схем (розетка двійна б/з, розетка одинарна, вимикач одинарний)</t>
  </si>
  <si>
    <t>Код ДК 021:2015-31220000-4 Елементи електричних схем (розетка зв 2-на, вн. 2-на, провід ШВВП 2*2,5, EN-2193 розетка вн.2-а ЕН Enzo лате, ЕН-22116 продовжувач 4г 5 м б/з,ВШ 16-014 вилка бокова з/з СВ-У (40 шт/уп), ВШ 16-016 вилка пряма з/з СВ-У, ЕН 2101 вимикач вн)</t>
  </si>
  <si>
    <t>Код ДК 021:2015-31220000-4 Елементи електричних схем (розетка, вимикач, подовжувач, корпус розподілення  зовн 120*80*50 6вх,коробка Д 60 мм)</t>
  </si>
  <si>
    <t>Код ДК 021:2015-31220000-4 Елементи електричних схем (тримач до кабеля, подовжувач)</t>
  </si>
  <si>
    <t>Код ДК 021:2015-31310000-2 - Мережеві кабелі(Мережевий кабель вита пара 4х0,51 FTP indoor)</t>
  </si>
  <si>
    <t>Код ДК 021:2015-31400000-0 Акумулятори, гальванічні елементи та гальванічні батареї (батарейка Варта ААА)</t>
  </si>
  <si>
    <t>Код ДК 021:2015-31410000-3 Гальванічні елементи (батарейки)</t>
  </si>
  <si>
    <t>Код ДК 021:2015-31430000-9 Електричні акумулятори (батарейка CR2025, батарейка CR2016, батарейка CR2032)</t>
  </si>
  <si>
    <t>Код ДК 021:2015-31430000-9 Електричні акумулятори (батарейка CR2032)</t>
  </si>
  <si>
    <t>Код ДК 021:2015-31430000-9 Електричні акумулятори (батарейка R14 S2)</t>
  </si>
  <si>
    <t>Код ДК 021:2015-31430000-9 Електричні акумулятори (батарейка R14 S2, крона)</t>
  </si>
  <si>
    <t>Код ДК 021:2015-31440000-2- Акумуляторні батареї (Акумуляторна батарея  CSB 12V 7,2 h)</t>
  </si>
  <si>
    <t>Код ДК 021:2015-31510000-4 Електричні лампи розжарення</t>
  </si>
  <si>
    <t>Код ДК 021:2015-31510000-4 Електричні лампи розжарення (LED лампа10W, E27, 4100К)</t>
  </si>
  <si>
    <t>Код ДК 021:2015-31510000-4 Електричні лампи розжарення (електролампа LB-700 A60 230V 10W900Lm E27 4000K, електролампа Б 230-100Вт (гофра), Led лампа LEBRON L-A60,8W, E2, 4100K, E27, 4100K 720 Lm)</t>
  </si>
  <si>
    <t>Код ДК 021:2015-31510000-4 Електричні лампи розжарення (електролампа Б 230-100Вт (гофра), LEDлампа LEBRON L-А60, 8,W E27, 41000К, Е27, 4100К 720 Lm, LEDлампа LEBRON L-60, 10W, E27, 41000К, лампочка 8W, Е14 Р45 кругла)</t>
  </si>
  <si>
    <t>Код ДК 021:2015-31510000-4 Електричні лампи розжарення (електролампа Б 230-75Вт (гофра))</t>
  </si>
  <si>
    <t>Код ДК 021:2015-31510000-4 Електричні лампи розжарення (електролампа Б230*100 Вт (гофра))</t>
  </si>
  <si>
    <t>Код ДК 021:2015-31510000-4 Електричні лампи розжарення (лампа бактерицидна Philips TUV-30W)</t>
  </si>
  <si>
    <t>Код ДК 021:2015-31510000-4 Електричні лампи розжарення (лампи LED10 W)</t>
  </si>
  <si>
    <t>Код ДК 021:2015-31510000-4 Електричні лампи розжарення (лампочка Лед А60-12 Е27, А60-10 Е27 іскра)</t>
  </si>
  <si>
    <t>Код ДК 021:2015-31515000-9 Лампи ультрафіолетового світла (лампа бактерицидна Philips TUV-30W)</t>
  </si>
  <si>
    <t xml:space="preserve">Код ДК 021:2015-31515000-9 Лампи ультрафіолетового світла (лампа бактерицидна Philips TUV-30W)
</t>
  </si>
  <si>
    <t>Код ДК 021:2015-31520000-7 Світильники та освітлювальна арматура (ЧВ-світильник  LED IEK ДВО 6560-Р 36W 6500К 595*595*20 призма)</t>
  </si>
  <si>
    <t>Код ДК 021:2015-31520000-7 Світильники та освітлювальна арматура (ліхтарик на голову акумуляторний, прожектор LED 30w 6500K Lemanso LMP9-32)</t>
  </si>
  <si>
    <t>Код ДК 021:2015-31520000-7 Світильники та освітлювальна арматура (ліхтарик)</t>
  </si>
  <si>
    <t>Код ДК 021:2015-31520000-7 Світильники та освітлювальна арматура (ліхтарик, настільна лампа HK-5568 голуба)</t>
  </si>
  <si>
    <t>Код ДК 021:2015-31520000-7 Світильники та освітлювальна арматура (прожектор CPS світодіодний чорний, світильник аварійний 8Вт LED синій, прожектор LED, світильник акумуляторний 30 LED 230Vпродовжувач 1 гніздо 16А 30м без зазамлення, подовж. EL ABS SB (4м, 5м 3м), стрічка попереджувальна)</t>
  </si>
  <si>
    <t>Код ДК 021:2015-31520000-7 Світильники та освітлювальна арматура (прожектор)</t>
  </si>
  <si>
    <t>Код ДК 021:2015-31520000-7 Світильники та освітлювальна арматура (світильник LED EK ДВО 6560-Р 36W 6500К 595*595*20 призма)</t>
  </si>
  <si>
    <t>Код ДК 021:2015-31520000-7 Світильники та освітлювальна арматура (світильник LED IEK ДВО 6560-Р 36W 6500К 595*595*20 призма)</t>
  </si>
  <si>
    <t>Код ДК 021:2015-31520000-7 Світильники та освітлювальна арматура (світильник світодіодний LightMaster CE 1019 квадрат накладний 30W 4000 K)</t>
  </si>
  <si>
    <t>Код ДК 021:2015-31650000-7 Ізоляційне приладдя (термоусадочна трубка, ізолента)</t>
  </si>
  <si>
    <t>Код ДК 021:2015-31650000-7 Ізоляційне приладдя (ізолента 21 м жовто-зелена)</t>
  </si>
  <si>
    <t>Код ДК 021:2015-31650000-7 Ізоляційне приладдя (ізолента 21м жовто-зелена, ізолента ХБ авто Certoplast)</t>
  </si>
  <si>
    <t>Код ДК 021:2015-31650000-7 Ізоляційне приладдя (ізолента чорна+синя, 21м)</t>
  </si>
  <si>
    <t>Код ДК 021:2015-31680000-6 Електричне приладдя та супутні товари до електричного обладнання (тен для бойлера)</t>
  </si>
  <si>
    <t>Код ДК 021:2015-31680000-6 Електричне приладдя та супутні товари до електричного обладнання (шолом фіксуючий для кріплення електродів ЕЕГ, електрод електроенцефалографічний чашечковий, електрод електроенцефалографічний вушний )</t>
  </si>
  <si>
    <t>Код ДК 021:2015-32220000-1 Телевізійна передавальна апаратура без приймальних пристроїв (ІР камера Hikvision DS-2CD1343G0-I 4Mp, ІР камера Hikvision DS-2CD2443G0-I 4Mp, ІР камера Hikvision DS-2CD2T43G2-4I 4Mp, ІР камера Hikvision DS-2CD2343G2-I 4Mp, ІР камера Hikvision DS-2CD2043G2-I 4Mp)</t>
  </si>
  <si>
    <t>Код ДК 021:2015-32320000-2 Телевізійне й аудіовізуальне обладнання (телевізор 32 "HISENSE 32 B6700HA, кріплення для телевізора Charmount CT-PLB-E3012AN)</t>
  </si>
  <si>
    <t>Код ДК 021:2015-32330000-5 Апаратура для запису та відтворення аудіо- та відеоматеріалу (IP реєстратор Hikvision DS-7632N-12, HDD3.5 ST6000VX005, 6ТБ)</t>
  </si>
  <si>
    <t>Код ДК 021:2015-32420000-3 Мережеве обладнання (кабель оптичний ОКТ-Д (1)П-1Е 1 210 м, кабель оптичний ОКТ-Д (1)П-1Е 1 200 м, SFP модуль FOXGATE SFP-1SM-1310 nm-3SC, SFP модуль FOXGATE SFP-1SM-1550 nm-3SC, комутатор TP-Link T2600G-28TS, точка доступу Ubiquiti UniFi AP AC Lite, ББЖ АРС Back-UPS 650V A, антивандальна шафа Vagos 3U-1,5, кабель мережевий внутрішній мідь 220м, кабель оптичний ОКТ-Д (1)П-1Е1 100м, медіаперетворювач під SFP модуль)</t>
  </si>
  <si>
    <t>Код ДК 021:2015-32520000-4 Телекомунікаційні кабелі та обладнання (кронштейн коробка DS-1260ZJ, кронштейн коробка DS-1280ZJ-S, кронштейн для кріплення на стовп, кабель мережевий внутрішній UTP (4*2*0,50) 885м, кабель мережевий зовнішній FTP (4*2*0,50) 640м. трос 3мм 100м, кронштейн коробка DS-1280ZJ-ХS, кабель оптичний ОКТ-Д (1)П-1Е1 230м, антивандальна шафа 300*200*140, опора профільна 6м 80*80)</t>
  </si>
  <si>
    <t>Код ДК 021:2015-32580000-2 Інформаційне обладнання (засіб КЗІ "Secure Token-337M")</t>
  </si>
  <si>
    <t>Код ДК 021:2015-33100000-1 Медичне обладнання (камера ультрафіолетова Мобіл)</t>
  </si>
  <si>
    <t>Код ДК 021:2015-33110000-4 - Візуалізаційне обладнання для потреб медицини, стоматології та ветеринарної медицини (Внутрішньопорожнинний датчик 4-9 МГц, EVN4-9, до апарату SAMSUNG HM70A)</t>
  </si>
  <si>
    <t>Код ДК 021:2015-33110000-4 Візуалізаційне обладнання для потреб медицини, стоматології та ветеринарної медицини  ((код НК 024:2019-37645 Система рентгенівська діагностична стаціонарна загального призначення, цифрова), (Система рентгенівська діагностична KAIGEN-65 R), код УКТЗЕД 9022 14 00 00)</t>
  </si>
  <si>
    <t>Код ДК 021:2015-33110000-4- Візуалізаційне обладнання для потреб медицини, стоматології та ветеринарної медицини (Внутрішньопорожнинний датчик 4-9 МГц, EVN4-9, до апарату SAMSUNG HM70A)</t>
  </si>
  <si>
    <t>Код ДК 021:2015-33120000-7 Системи реєстрації медичної інформації та дослідне обладнання (Експрес-тест для виявлення коронавірусу SARS-CoV-2 "COVID-19 Ag test", набір №1кп)</t>
  </si>
  <si>
    <t>Код ДК 021:2015-33120000-7 Системи реєстрації медичної інформації та дослідне обладнання (Код НК 024-2019-47343-D-димер IVD, набір, імунохроматографічний тест (ІХТ), експрес-тест, Код НК 024-2019-54316-Прокальцитонін IVD, реагент; код УКТЗЕД-3002, 3006, 3822 00 00 00-Реагенти (набори реагентів) для визначення рівня прокальцитоніну, код УКТЗЕД-3002, 3006, 3822 00 00 00-Реагенти (набори реагентів) для визначення Д-димеру)</t>
  </si>
  <si>
    <t>Код ДК 021:2015-33120000-7 Системи реєстрації медичної інформації та дослідне обладнання (Комплект обладнання для надання медичних послуг із застосуванням телемедицини (Код за НК 024:2019 – 48040 Система для вибіркового контролю фізіологічних показників, для домашнього використання))</t>
  </si>
  <si>
    <t xml:space="preserve">Код ДК 021:2015-33120000-7 Системи реєстрації медичної інформації та дослідне обладнання (Комплект обладнання для надання медичних послуг із застосуванням телемедицини (Код за НК 024:2019 – 48040 Система для вибіркового контролю фізіологічних показників, для домашнього використання))
</t>
  </si>
  <si>
    <t>Код ДК 021:2015-33120000-7 Системи реєстрації медичної інформації та дослідне обладнання (НК 024:2019-50280 коронавірус (SARS-Cov-2), антигени IVD, набір, імунохроматографічний, експрес аналіз (експрес-тест для виявлення антигенів коронавірусу SARS-Cov-2 "COVID-19 Ag test"))</t>
  </si>
  <si>
    <t>Код ДК 021:2015-33120000-7 Системи реєстрації медичної інформації та дослідне обладнання (експрес-тести для визначення антигену до вірусу "SARS-CoV-2" (STANDARD Q COVID-19 Ag Test))</t>
  </si>
  <si>
    <t>Код ДК 021:2015-33120000-7 Системи реєстрації медичної інформації та дослідне обладнання (експрес-тести для визначення антигену до вірусу "SARS-CoV-2" Lepu Medical Technology Antigen Rapid Test Kid (Colloidal GoldImmunochromatography))</t>
  </si>
  <si>
    <t>Код ДК 021:2015-33120000-7 Системи реєстрації медичної інформації та дослідне обладнання (електрокардіограф ECG 300G)</t>
  </si>
  <si>
    <t>Код ДК 021:2015-33120000-7 Системи реєстрації медичної інформації та дослідне обладнання (набір для ІФА DIA-SARS-CoV-2-NP-LgM T1-12 T1-26M01C, 96(8*12), набір для ІФА DIA-SARS-CoV-2-NP-LgG T1-12 T1-26G01C, 192(8*12*2))</t>
  </si>
  <si>
    <t xml:space="preserve">Код ДК 021:2015-33120000-7 Системи реєстрації медичної інформації та дослідне обладнання (набір для ІФА DIA-SARS-CoV-2-NP-LgM T1-12 T1-26M01C, 96(8*12), набір для ІФА DIA-SARS-CoV-2-NP-LgG T1-12 T1-26G01C, 192(8*12*2)) </t>
  </si>
  <si>
    <t>Код ДК 021:2015-33120000-7 Системи реєстрації медичної інформації та дослідне обладнання (пульсоксиметр S6)</t>
  </si>
  <si>
    <t>Код ДК 021:2015-33120000-7 Системи реєстрації медичної інформації та дослідне обладнання (пульсоксиметр дитячий S8P (зарядний кабель))</t>
  </si>
  <si>
    <t>Код ДК 021:2015-33120000-7 Системи реєстрації медичної інформації та дослідне обладнання (тест для визначення антитіл до ВІЛ 1 та 2 типів (цільна кров, сироватка, плазма) №1 CITO TEST HIV 1/2)</t>
  </si>
  <si>
    <t>Код ДК 021:2015-33120000-7 Системи реєстрації медичної інформації та дослідне обладнання (тест для виявлення гепатиту В (HBsAg) (зі скарифікатором та серветкою), тест для виявлення гепатиту С (HCV) (зі скарифікатором та серветкою))</t>
  </si>
  <si>
    <t>Код ДК 021:2015-33120000-7 Системи реєстрації медичної інформації та дослідне обладнання (тест-смужки для виявлення антигену до вірусу "SARS-CoV-2" (STANDARD Q COVID-19 Ag Test))</t>
  </si>
  <si>
    <t>Код ДК 021:2015-33120000-7 Системи реєстрації медичної інформації та дослідне обладнання (швидкий тест на антиген COVID-19)</t>
  </si>
  <si>
    <t>Код ДК 021:2015-33120000-7 Системи реєстрації медичної інформації та дослідне обладнання (швидкий уреазний тест AMA RUT PRO, код УКТЗЕД 3822 00 00 00)</t>
  </si>
  <si>
    <t>Код ДК 021:2015-33140000-3 Медичні матеріали ( рукавиці нітрилові CEROS р. L, рукавиці нітрилові CEROS р. М, рукавиці оглядові нітрилові н/с Дермагріп 6-7, неприпудрені №100 )</t>
  </si>
  <si>
    <t>Код ДК 021:2015-33140000-3 Медичні матеріали (Набір гінекологічний №12, скарифікатор (ланцет)№200, вата  100 гр. н/с, лейкопластир 2х500 мед.на бавовняні основі, бинт марлевий медичний 5х10см н/с, бинт марлевий медичний 7 Х14см н/с, джгут  в/в, вимірювач артеріального тиску механ.ВК2001-3001 з стетоскопом, шовк стерильний №2, шовк стерильний №4, шовк стерильний №6, шовк стерильний №3, шовний матеріал ПОЛІГЛІКОЛІД стерильний з голкою, шпатель ЛОР стерильний, пластир бактерицидний  8,0*6,0см, зонд урогенітальний  для одноразового використання, стерильний, тип 2 (універсальний), пінцет хірургічний 150мм, пінцет анатомічний 150мм, голкотримач, затискач кровозупинний, термометр клінічний, вимірювач артеріального тиску  цифровий напівавтомат LD-2, гігрометр ВИТ- 2(+16-+40С), гігрометр ВИТ-1 (0+25С), гачок для видалення чужорідних тіл з носа SURGIWELOMED, гачок для видалення чужорідних тіл з вуха SURGIWELOMED, ложка вушна кюретажна по Jansen, двостороння, гостра SURGIWELOMED. довжина 15 см,  пластир для фіксації катетерів Ю-ФІКС на спанлейс основі  6см*8см )</t>
  </si>
  <si>
    <t>Код ДК 021:2015-33140000-3 Медичні матеріали (бульбашковий зволожувач Intersurgical Aqufiow з ємністю, кисневий з'єднювач, подвійна зовнішня різьба)</t>
  </si>
  <si>
    <t>Код ДК 021:2015-33140000-3 Медичні матеріали (вакуумна пробірка б/наповнювача біла 9 мл 16*100 мм ПЕТ)</t>
  </si>
  <si>
    <t>Код ДК 021:2015-33140000-3 Медичні матеріали (вата медична гігроскопічна гігієнічна нестерильна ТМ "Юрія-Фарм", зигзагоподібна стрічка, 100 г, серветка "Волес" із нетканого матеріалу просочена 70% ізопропіловим спиртовим розчином, 30*60 мм №100)</t>
  </si>
  <si>
    <t>Код ДК 021:2015-33140000-3 Медичні матеріали (захисний лицьовий щиток, маска медична №1, півсмаска фвльтрувальна БУК-КЗFFP3 NR)</t>
  </si>
  <si>
    <t>Код ДК 021:2015-33140000-3 Медичні матеріали (захисний лицьовий щиток, півмаска фільтрувальна БУК-К3 FFP3 NR)</t>
  </si>
  <si>
    <t>Код ДК 021:2015-33140000-3 Медичні матеріали (канюля для ін'єкцій тиру метелик стер. одн. G23 Волес)</t>
  </si>
  <si>
    <t>Код ДК 021:2015-33140000-3 Медичні матеріали (катетер (канюля) в/в G22, катетер (канюля) в/в типу "метелик" 23G одноразового використання)</t>
  </si>
  <si>
    <t>Код ДК 021:2015-33140000-3 Медичні матеріали (катетер Метелик 23 G Igar (Irap))</t>
  </si>
  <si>
    <t>Код ДК 021:2015-33140000-3 Медичні матеріали (киснева маска EcoLete з кисневою трубкою 1181015)</t>
  </si>
  <si>
    <t>Код ДК 021:2015-33140000-3 Медичні матеріали (киснева маска EcoLete з кисневою трубкою 1181015, маска медична №1, півмаска фільтрувальна БУК-КЗ FFP3 NR)</t>
  </si>
  <si>
    <t>Код ДК 021:2015-33140000-3 Медичні матеріали (киснева маска EcoLeteз кисневою трубкою 1181015)</t>
  </si>
  <si>
    <t>Код ДК 021:2015-33140000-3 Медичні матеріали (киснева маска з Ecolite кисневою трубкою 1181015)</t>
  </si>
  <si>
    <t>Код ДК 021:2015-33140000-3 Медичні матеріали (кріопробірка "Волес" 2 мл стерильна з зовнішньою гвинтовою кришкою №100, ємність для збору сечі 60 мл нестерильна, катетер для ін'єкцій типу "метелик" 23 G однораз. використання, катетер (канюля) в/в з ін'єкц. портом 22 G стерильний, система для в/в вливань)</t>
  </si>
  <si>
    <t>Код ДК 021:2015-33140000-3 Медичні матеріали (маска киснева EcoLete для дорослих, для забезпечення високої концентрації кисню, бульбашковий зволожувач Intersurgical Aquflow з ємністю, кисневий з'єднувач, подвійна зовнішня різьба)</t>
  </si>
  <si>
    <t>Код ДК 021:2015-33140000-3 Медичні матеріали (маска киснева EcoLite для дорослих, для забезпечення високої концентрації кисню)</t>
  </si>
  <si>
    <t>Код ДК 021:2015-33140000-3 Медичні матеріали (маска киснева EcoLite для дорослих, для забезпечення високої концентрації кисню, бульбашковий зволожувач Intersurgical Aquflow з ємністю,кисневий з'єднувач, подвійна зовнішня різьба)</t>
  </si>
  <si>
    <t xml:space="preserve">Код ДК 021:2015-33140000-3 Медичні матеріали (маска киснева RcoLite для дорослих, для забезпечення високої концентрації кисню з кисневою трубкою, бульбашковий зволожувач Intersurgical Aquflow з ємністю, кисневий з'єднувач, подвійна зовнішня різьба, маска киснева Eco з кисневою трубкою 2,1м, напалечний пульсоксиметр MD 300C19, система для в/в вливань ПР, мішок пластиковий санітарний МПС-2005)
</t>
  </si>
  <si>
    <t>Код ДК 021:2015-33140000-3 Медичні матеріали (маска медична №1)</t>
  </si>
  <si>
    <t>Код ДК 021:2015-33140000-3 Медичні матеріали (маска медична №1); Код ДК 021:2015-33140000-3 Медичні матеріали (півмаска фільтрувальна БУК-КВ FFP3 NR)</t>
  </si>
  <si>
    <t>Код ДК 021:2015-33140000-3 Медичні матеріали (маска медична №1, півмаска фільтрувальна БУК-КВ FFP3 NR)</t>
  </si>
  <si>
    <t>Код ДК 021:2015-33140000-3 Медичні матеріали (маска медична №1, півмаска фільтрувальна БУК-КЗ FFP3 NR,  захисний лицьовий щиток)</t>
  </si>
  <si>
    <t>Код ДК 021:2015-33140000-3 Медичні матеріали (маска медична)</t>
  </si>
  <si>
    <t>Код ДК 021:2015-33140000-3 Медичні матеріали (пластир бактироцидний 2,5*7,6 см, полім. осн. №100 Irap, джут д/забору крові Гранум (синій поясок, жовта пласт. застібка))</t>
  </si>
  <si>
    <t>Код ДК 021:2015-33140000-3 Медичні матеріали (пробірка Епендорфа 2 мл)</t>
  </si>
  <si>
    <t>Код ДК 021:2015-33140000-3 Медичні матеріали (рукавиці нітрилові CEROS р. L, рукавиці нітрилові CEROS р. М, рукавиці оглядові нітрилові н/с Дермагріп 6-7, неприпудрені №100 )</t>
  </si>
  <si>
    <t>Код ДК 021:2015-33140000-3 Медичні матеріали (рукавички нітрилові GREAT NITRILE  розмір S (50 пар в упаковці), рукавички нітрилові DENIZZ  розмір М (100 пар в упаковці), рукавички нітрилові DENIZZ  розмір L (100 пар в упаковці))</t>
  </si>
  <si>
    <t>Код ДК 021:2015-33140000-3 Медичні матеріали (рукавички нітрилові MAXTER cobalt blue р. L пара №1, рукавички нітрилові MAXTER cobalt blue р. S пара №1, рукавички нітрилові MAXTER cobalt blue р. M пара №1)</t>
  </si>
  <si>
    <t>Код ДК 021:2015-33140000-3 Медичні матеріали (рукавички нітрилові MAXTER cobalt blue р. S пара №1, рукавички нітрилові MAXTER cobalt blue р. M пара №1)</t>
  </si>
  <si>
    <t>Код ДК 021:2015-33140000-3 Медичні матеріали (рукавички нітрилові н/с Дермагріп L пара №1, рукавички нітрилові н/с Дермагріп S пара №1. рукавички нітрилові н/с Дермагріп M пара №1)</t>
  </si>
  <si>
    <t>Код ДК 021:2015-33140000-3 Медичні матеріали (рукавички оглядові нітрилові н/с Irap розмір L (8-9), пара неприпудр. №1, рукавички оглядові нітрилові н/с Irap розмір S (6-7), пара неприпудр. №1, рукавички оглядові нітрилові н/с Irap розмір М (7-8), пара неприпудр. №1)</t>
  </si>
  <si>
    <t>Код ДК 021:2015-33140000-3 Медичні матеріали (рукавички оглядові нітрилові н/с Дермагріп 6-7, неприпудр. №100, рукавички оглядові нітрилові н/с  Нітрилекс р. М, рукавички оглядові нітрилові н/с  Нітрилекс р. S, рукавички оглядові нітрилові н/с  Нітрилекс р. L)</t>
  </si>
  <si>
    <t>Код ДК 021:2015-33140000-3 Медичні матеріали (система ПК Алексфарм, система ПР Алексфарм, шприц 3-х компонентний Алексфарм 10 мл, голка 21 G (0.8*40 мм) №1, шприц 3-х компонентний Алексфарм  2мл, голка 23 G (0.6*30 мм) №1, шприц 3-х компонентний Алексфарм  20мл, голка 21 G (0.8*40 мм) №1, шприц 3-х компонентний Алексфарм  5мл, голка 22 G (0.7*40 мм) №1)</t>
  </si>
  <si>
    <t>Код ДК 021:2015-33140000-3 Медичні матеріали (система ПР (без фталатів) (Вир. ЮФ, вир. площадка BroadGenesis), шприц 1 голка ЮФ 2мл 23G (зел. ущільнювач), шприц 2 голки ЮФ 2мл  (зел. ущільнювач), шприц 2-комп 2 голка ЮФ 5 мл 22G/22G безпечна голка, шприц 2-комп 2 голка ЮФ 10 мл 22G/21G безпечна голка, шприц 2-комп 2 голка ЮФ 20 мл 22G/21G безпечна голка)</t>
  </si>
  <si>
    <t>Код ДК 021:2015-33140000-3 Медичні матеріали (система ПР Medicare, катетер Метелик  23G Igar, відріз марлевий н/ст 10м*90см)</t>
  </si>
  <si>
    <t>Код ДК 021:2015-33140000-3 Медичні матеріали (система ПР Алексфарм, шприц ін'єкційний 3-х компонентний Алексфарм 10 мл, голка 21 G (0,8*40 мм) №1,шприц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 шприц інсуліновий 3-х компонентний Алексфарм U-100 1 мл, голка 30 G (0,3*13 мм) №1)</t>
  </si>
  <si>
    <t>Код ДК 021:2015-33140000-3 Медичні матеріали (система ПР Алесфарм, шприц 3-х компонентний Алесфарм 10 мл, голка 21 G (08*40 мм)№1, шприц 3-х компонентний Алесфарм 2 мл, голка 23 G (06*30 мм)№1, шприц 3-х компонентний Алесфарм 5 мл, голка 22 G (07*40 мм)№1)</t>
  </si>
  <si>
    <t>Код ДК 021:2015-33140000-3 Медичні матеріали (тести для визначення вірусу гепатиту В (цільна кров, сироватка, плазма) пороговий рівень -1 нг/м СІТО TEST HBsAg, тести для визначення вірусу гепатиту С (цільна кров, сироватка, плазма) №1 СІТО TEST  HCV))</t>
  </si>
  <si>
    <t>Код ДК 021:2015-33140000-3 Медичні матеріали (шапочка-берет мед н/ст. №100 шт (спанбонд), ємність  для забору сечі ст. 125 мл)</t>
  </si>
  <si>
    <t>Код ДК 021:2015-33140000-3 Медичні матеріали (шапочка-берет мед. стер. №10, катетер Фолея Medicare Fr 16, двухходовий латексний №1)</t>
  </si>
  <si>
    <t>Код ДК 021:2015-33140000-3 Медичні матеріали (шапочка-берет мед. №100, шприц 1 мл, U-100 інтегр. голка (30G*8мм) Медік-о-Планет, тара для збору сечі стер 120мл Тета)</t>
  </si>
  <si>
    <t>Код ДК 021:2015-33140000-3 Медичні матеріали (шапочка-берет медична №100)</t>
  </si>
  <si>
    <t>Код ДК 021:2015-33140000-3 Медичні матеріали (шапочка-берет спабонд, н/ст. №1, сечоприймач 2000 мл, зонд шлунковий Medicare Fr 20, відріз марлевий н/ст 10м*90см)</t>
  </si>
  <si>
    <t>Код ДК 021:2015-33140000-3 Медичні матеріали (шорти проктологічні одноразові)</t>
  </si>
  <si>
    <t>Код ДК 021:2015-33140000-3 Медичні матеріали (шприц 3-х компонентний  Алексфарм 10мл, голка 21G (0.8*40мм) №1, шприц 3-х компонентний  Алексфарм 2мл, голка 23G (0.6*20мм) №1, шприц 3-х компонентний  Алексфарм 20мл, голка 21G (0.8*40мм) №1, шприц 3-х компонентний  Алексфарм 5мл, голка 22G (0.7*40мм) №1)</t>
  </si>
  <si>
    <t>Код ДК 021:2015-33140000-3 Медичні матеріали (шприц 5 мл одноразовий "Луер", шприц 20 мл одноразовий "Луер", шприц 2 мл одноразовий "Луер", шприц 10 мл одноразовий "Луер" )</t>
  </si>
  <si>
    <t>Код ДК 021:2015-33140000-3 Медичні матеріали (шприц стерильний 3-комп. 5 мл (G22*40 mm) Медік-о-Планет)</t>
  </si>
  <si>
    <t>Код ДК 021:2015-33140000-3 Медичні матеріали (шприц ін'єкційний 3-х компонентний Алексфарм 10 мл, голка 21 G (0,8*40 мм) №1,шприц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№1 )</t>
  </si>
  <si>
    <t>Код ДК 021:2015-33140000-3 Медичні матеріали (шприц ін'єкційний одноразового застосування 1 мл, система для в/в вливань ПР, система для переливання крові ПК, катетер (канюля) в/в з ін'єкц. портом G22 стерильна, катетер (канюля) в/в з ін'єкц. портом  G24, канюля для ін'єкцій  типу "метелик" 23G стерильний одноразового використання,  мішок пластиковий санітарний "МПС-200/5")</t>
  </si>
  <si>
    <t>Код ДК 021:2015-33140000-3 Медичні матеріали (ємність для збору сечі стерильний з кришкою 60мл)</t>
  </si>
  <si>
    <t>Код ДК 021:2015-33150000-6 Апаратура для радіотерапії, механотерапії, електротерапії та фізичної терапії (генератор кисню MAS-OXY-15-030-R-1-1-1-1 ТУ У 32.5-39376051-002:2020 (код НК 024:2019-36271-Система медичного газу/вакуумного трубопроводу, код згідно з УКТЗЕД 9019 20 00 00-Апаратура для  озонотерапії, кисневої та аерозольної терапії , штучного дихання, реанімації та інша апартура для дихальної терапії))</t>
  </si>
  <si>
    <t>Код ДК 021:2015-33160000 - 9 Устаткування для операційних блоків (НК 024:2019 10960 – Кольпоскоп (Кольпоскоп цифровий))</t>
  </si>
  <si>
    <t>Код ДК 021:2015-33160000-9 Устаткування для операційних блоків (Відеогастроскоп в комплекті НК 024:2019: 17663 - Гнучкий відеогастроскоп)</t>
  </si>
  <si>
    <t>Код ДК 021:2015-33170000-2 (мішок дихальний ручний типу АМБУ)</t>
  </si>
  <si>
    <t xml:space="preserve">Код ДК 021:2015-33170000-2 Обладнання для анестезії та реанімації (Код НК 024:2019-37709 Мішок для дихального контура, багаторазового використання (Мішок дихальний ручний "Біомед" типу АМБУ, комплект "Дорослий", варіант виконання 1 (багаторазовий/силікон))) </t>
  </si>
  <si>
    <t xml:space="preserve">Код ДК 021:2015-33190000-8 Медичне обладнання та вироби медичного призначення різні </t>
  </si>
  <si>
    <t>Код ДК 021:2015-33190000-8 Медичне обладнання та вироби медичного призначення різні (ALPHA AMILASE (альфа-амілаза SL R1:10*10 ml), ALBUMIN (альбумін R1:2*100 мл), GLUCOSE SL (глюкоза CP R1:1*250 мл), UREA UV SL (сечовина УФ СР R1:1*200 мл R2:1*50 мл), CREATININE (креатинін R1^2*50 мл R2:2*50 мл), Test cuvets Chrom (набір 500шт), папір для СС 3003)</t>
  </si>
  <si>
    <t>Код ДК 021:2015-33190000-8 Медичне обладнання та вироби медичного призначення різні (MF01-0011 фільтр для ендоскопічних репроцесорів MEDIVATORS)</t>
  </si>
  <si>
    <t>Код ДК 021:2015-33190000-8 Медичне обладнання та вироби медичного призначення різні (Комбінезон медичний одноразовий, нестерильний (Код НК 024:2019-16176  Ізолювальний костюм), бахіли медичні одноразові, нестерильні (Код НК 024:2019-61937- Бахіли хірургічні)</t>
  </si>
  <si>
    <t>Код ДК 021:2015-33190000-8 Медичне обладнання та вироби медичного призначення різні (Комбінезон медичний одноразовий, нестерильний (Код НК 024:2019-16176  Ізолювальний костюм), бахіли медичні одноразові, нестерильні (Код НК 024:2019-61937- Бахіли хірургічні))</t>
  </si>
  <si>
    <t>Код ДК 021:2015-33190000-8 Медичне обладнання та вироби медичного призначення різні (Костюм біологічного захисту (халат ізоляційний медичний одноразовий, комбінезон захисний ізоляційний, бахіли))</t>
  </si>
  <si>
    <t>Код ДК 021:2015-33190000-8 Медичне обладнання та вироби медичного призначення різні (контейнер для медвідходів, 11л, контейнер для медвідходів, 3л, контейнер для медвідходів, 5л, контейнер для знезараження 3л)</t>
  </si>
  <si>
    <t>Код ДК 021:2015-33190000-8 Медичне обладнання та вироби медичного призначення різні (костюм біологічного захисту/комбінезон з бахілами)</t>
  </si>
  <si>
    <t xml:space="preserve">Код ДК 021:2015-33190000-8 Медичне обладнання та вироби медичного призначення різні (костюм біологічного захисту/комбінезон з бахілами)
</t>
  </si>
  <si>
    <t>Код ДК 021:2015-33190000-8 Медичне обладнання та вироби медичного призначення різні (костюм біологічного захисту/комбінезон з бахілами, халат ізоляційний медичний одноразовий з бахілами, шапочка медична одноразова)</t>
  </si>
  <si>
    <t>Код ДК 021:2015-33190000-8 Медичне обладнання та вироби медичного призначення різні (костюми біологічного захисту/комбінзони з бахілами )</t>
  </si>
  <si>
    <t>Код ДК 021:2015-33190000-8 Медичне обладнання та вироби медичного призначення різні (монітор пацієнта BM800А (з сенсорним екраном), насос шрицевий "Біомед" М200А)</t>
  </si>
  <si>
    <t>Код ДК 021:2015-33190000-8 Медичне обладнання та вироби медичного призначення різні (опромінювач бактерицидний ОБПе-225м)</t>
  </si>
  <si>
    <t>Код ДК 021:2015-33190000-8 Медичне обладнання та вироби медичного призначення різні (пробірка конічна 50 мл)</t>
  </si>
  <si>
    <t>Код ДК 021:2015-33190000-8 Медичне обладнання та вироби медичного призначення різні (тестд/визн. тропоніну І, КК-МВ, міоглобіну №1  СІТО TEST Troponin I, СК-МВ,Myoglobin, тест для визначення вірусу гепатиту В (цільна кров , сиворотка, плазма) пороговий рівень-1 нг/м СІТО TEST HBsAg, тест для визначення вагітності Exspress 2,5 мм. Екон.пак., тест для визначення антитіл до вірусу гепатиту С (цільна кров , сиворотка, плазма) №1  СІТО TEST НСV.. лейкопластир мед. на ткан. основі 1 см*500 см, лейкопластир мед. "FP Family Plast" на неткан. основі 1,25 см*500см)</t>
  </si>
  <si>
    <t>Код ДК 021:2015-33190000-8 Медичне обладнання та вироби медичного призначення різні (халат ізоляційний медичний одноразовий з бахілами, шапочка медична одноразова)</t>
  </si>
  <si>
    <t>Код ДК 021:2015-33192160-1 Ноші (ноші медичні "Біомед" А12)</t>
  </si>
  <si>
    <t>Код ДК 021:2015-33192200-4 Медичні столи (столик інструментальний медичний)</t>
  </si>
  <si>
    <t>Код ДК 021:2015-33198000-4 Лікарняні паперові вироби (Стрічка діаграмна 110*25, стрічка діаграмна 215*20 (12) внутр. №5)</t>
  </si>
  <si>
    <t>Код ДК 021:2015-33600000-6 Фармацевтична продукція (Lysine, Metamizole sodium, Magnesium (different salts in combination), Ammonia, Hexamethonium bromide, Bisoprolol, Vancomycin, Verapamil, Spironolactone, Menadione, Nicotinic acid, Ascorbic acid (vit C), Hydazepam, Glucose, Diclofenac, Diclofenac, Bendazol, Digoxin, Diphenhydramine, Dopamine, Etamsylate, Theophylline, Iodine, Isosorbide dinitrate, Calcium chloride, Corglycone, Nikethamide, Caffeine and sodium benzoate, Cocarboxylase, Phenylephrine, Sodium lauryl sulfoacetate, incl. combinations, Drotaverine, Hydrogen peroxide, Papaverine, Formic acid)</t>
  </si>
  <si>
    <t>Код ДК 021:2015-33600000-6 Фармацевтична продукція (Актемра конц. д/інф 80 мг/4мл №1, Актемра конц. д/інф 200 мг/10мл №1)</t>
  </si>
  <si>
    <t>Код ДК 021:2015-33600000-6 Фармацевтична продукція (Амоксил-К пор. д/п ін. р-ну 1,2 г фл. №1)</t>
  </si>
  <si>
    <t>Код ДК 021:2015-33600000-6 Фармацевтична продукція (Амоксил-К пор. д/п ін. р-ну 1,2г, фл. №1, гепарин-Фармекс р-н д/ін. 5000 МО/мл 5 мл №5, дексаметазону фосфат р-н д/ін. 4 мг/мл амп. 1 мл, в пачці №10)</t>
  </si>
  <si>
    <t>Код ДК 021:2015-33600000-6 Фармацевтична продукція (Аміназин р-н д/ін. 25 мг/мл амп. 2 мл, у блістері в коробці №10, анальгін-ДАРНИЦЯ р-н д/ін. 500 мг/мл амп. 2 мл, контурн. чарунк. yп., пачка №10, аспаркам р-н д/ін. амп. 10 мл, блістер у пачці №10, бетадин р-н д/зовн. та місц. застос. 10 % фл. з крапельн. 120 мл №1, бісопрол табл. 5 мг блістер №50, верепаміл-ДАРНИЦЯ р-н д/ін. 2,5 мг/мл амп. 2 мл, контурн. чарунк. yп., пачка №10, верошпірон капс. 50мг №30, аскорбінова кислота-ДАРНИЦЯ р-н д/ін. 100 мг/мл амп. 2 мл, контурн. чарунк. yп., пачка №10, тіаміну хлорид-ДАРНИЦЯ (вітамін В1-ДАРНИЦЯ) р-н д/ін. 50 мг/мл амп. 1 мл, контурн. чарунк. yп., пачка №10, піридоксин-ДАРНИЦЯ (ВІТАМІН В6-ДАРНИЦЯ) р-н д/ін. 50 мг/мл амп. 1 мл, контурн. чарунк. уп. №10, гідазепам ІС  табл. 0,02 г блістер №20, диклофенак-ДАРНИЦЯ р-н д/ін. 25 мг/мл амп. 3 мл, контурн. чарунк. yп., пачка №10, алмірал р-н д/ін. 75 мг амп. 3 мл №5, дибазол-ДАРНИЦЯ р-н д/ін. 10 мг/мл амп. 5 мл, контурн. чарунк. yп., пачка №10, дигоксин р-н д/ін. 0,25 мг/мл амп. 1 мл, в пачці №10, димедрол-ДАРНИЦЯ р-н д/ін. 10 мг/мл амп. 1 мл, контурн. чарунк. yп., пачка №10, ентерол 250 пор. орал. пак. 250мг №10, еуфілін-ДАРНИЦЯ р-н д/ін. 20 мг/мл амп. 5 мл №10, йод р-н спирт. д/зовн. застос. 5 % фл. 10 мл №1, корвалмент капс. м'які 0,1 г блістер №30, мезатон р-н д/ін. 10 мг/мл амп. 1 мл, блістер у пачці №10, мікролакс р-н рект. туба 5мл №4, дротаверин-ДАРНИЦЯ р-н д/ін. 20 мг/мл амп. 2 мл, контурн. чарунк. yп., пачка №5, ніфуроксазид табл. в/о 0,1 г блістер №30, новокаїн-ДАРНИЦЯ р-н д/ін. 5 мг/мл амп. 2 мл, контурн. чарунк. yп., пачка №10, супрастин р-н д/ін. 20 мг амп. 1 мл №5, пангастро табл. гастрорезист. 40мг №28, платифілін-ДАРНИЦЯ р-н д/ін. 2 мг/мл амп. 1 мл, контурн. чарунк. yп., пачка №10, перекись водню р-н д/зовн. застос. 3 % фл. 100 мл №1, рибоксин-ДАРНИЦЯ р-н д/ін. 20 мг/мл амп. 5 мл №10,  стерофундин ISO р-н д/інф. контейнер 500 мл №10,  сульфокамфокаїн-ДАРНИЦЯ р-н д/ін. 100 мг/мл амп. 2 мл №10, ультракаїн Д-С амп. 2мл №100, діоксидин р-н 10 мг/мл амп. 10 мл, в пачці №10, рицинова олія 100 г фл. №1, спазмалгон р-н д/ін. амп. 5мл №10, новокаїн  р-н д/ін. 2,5 мг/мл пляшка 200 мл №1, ністатин-ЗДОРОВ'Я табл. в/о 500000 ОД блістер, у коробці №20, регідрон пор. дозов. пакет 18,9 г №20, фрмасулін® H р-н д/ін. 100 МО/мл фл. 10 мл №1)</t>
  </si>
  <si>
    <t>Код ДК 021:2015-33600000-6 Фармацевтична продукція (Дофамін конц. д/п інф. р-ну 4% 5 мл №10)</t>
  </si>
  <si>
    <t>Код ДК 021:2015-33600000-6 Фармацевтична продукція (Еноксапарин р-н д/ін 0,4г №1)</t>
  </si>
  <si>
    <t>Код ДК 021:2015-33600000-6 Фармацевтична продукція (Кванадекс, концентрат для розчину для інфузій 100 мкг/мл по 2 мл в ампулі №5, Максіцин® , концентрат для розчину для нфузій 400 мг/ 20 мл, по 20 мл у флаконі; по 1 флакону в пачці з картону, Натрію хлорид розчин для інфузій 9 мг/мл по 100 мл, Натрію хлорид розчин для інфузій 9 мг/мл по 200 мл, Розчин Рінгера розчин для інфузій по 200 мл, Сангера розчин для  ін'єкцій 100 мг/мл  по 10мл ампули №5, Суфер® розчин для внутрішньовенних ін'єкцій 20 мг/мл по 5 мл в ампулі №5, Флуконазол розчин для інфузій 2 мг/мл по 100 мл)</t>
  </si>
  <si>
    <t>Код ДК 021:2015-33600000-6 Фармацевтична продукція (Клексан р-н д/ін. 4000 МО шприц 0,4мл №10)</t>
  </si>
  <si>
    <t>Код ДК 021:2015-33600000-6 Фармацевтична продукція (Натрію хлорид  р-н 0,9% 200 мл, Рінгера р-н 200 мл, Рінгер лактатний р-н 200 мл)</t>
  </si>
  <si>
    <t>Код ДК 021:2015-33600000-6 Фармацевтична продукція (Омепразол  Ананта -капсули з модифікованим вивільненням по 20 мг №100, цефтриаксон Ананта- порошок для розчину для ін'єкцій по 2 г у флаконах №1, цефтриаксон Ананта- порошок для розчину для ін'єкцій по 1 г у флаконах №1, левофлоксацин розчин для інфузій 500 мг/100 мл у контейнері №1, Рінгера Розчин- розчин для інфузій, пляшка скляна 200 мл)</t>
  </si>
  <si>
    <t>Код ДК 021:2015-33600000-6 Фармацевтична продукція (ПКО Дитилін р-н д/ін. 2% 5 мл №10 (обмежений доступ))</t>
  </si>
  <si>
    <t>Код ДК 021:2015-33600000-6 Фармацевтична продукція (ПКО Морфіну гідрохлорид р-н д/ін 1% 1 мл №100 (Обмежений відпуск))</t>
  </si>
  <si>
    <t>Код ДК 021:2015-33600000-6 Фармацевтична продукція (ПКО Сибазон р-н д/ін. 0,5% 2 мл №1)</t>
  </si>
  <si>
    <t>Код ДК 021:2015-33600000-6 Фармацевтична продукція (ПКО Тіопентал ліоф. д/р-ну д/ін. 0,5г)</t>
  </si>
  <si>
    <t>Код ДК 021:2015-33600000-6 Фармацевтична продукція (ПКО морфіну гідрохлорид р-н д/ін. 1% 1 мл №1)</t>
  </si>
  <si>
    <t xml:space="preserve">Код ДК 021:2015-33600000-6 Фармацевтична продукція (ПКО морфіну гідрохлорид р-н д/ін. 1% 1 мл №1)
</t>
  </si>
  <si>
    <t>Код ДК 021:2015-33600000-6 Фармацевтична продукція (Рафт р-н д/ін. 4мг 1мл №10, Дексеметазону фосфат р-н д-ін. 0,4 % 1мл №10)</t>
  </si>
  <si>
    <t>Код ДК 021:2015-33600000-6 Фармацевтична продукція (Сангера розчин для ін'єкції 100 мг/мл по 10 мл ампули №5)</t>
  </si>
  <si>
    <t>Код ДК 021:2015-33600000-6 Фармацевтична продукція (Сибазон 0,5% 2,0 , Морфін г/х 1% 1,0)</t>
  </si>
  <si>
    <t>Код ДК 021:2015-33600000-6 Фармацевтична продукція (Тіопентал ліоф. для розчину по 1,0 фл. з порош.)</t>
  </si>
  <si>
    <t>Код ДК 021:2015-33600000-6 Фармацевтична продукція (Фармасулін Н р-н д/ін. 100МО/мл 10 мл №1, клексан р-н д/ін. 4000 МО, шприц 0,4 мл №10, еноксапарин р-н д/ін. 0,4г №1, бліцеф пор. д/інф. 1г №10)</t>
  </si>
  <si>
    <t>Код ДК 021:2015-33600000-6 Фармацевтична продукція (Фрелсі р-н д/ін. 2,5 мг/0,5 мл ро 0,5 мл у шприці №10)</t>
  </si>
  <si>
    <t>Код ДК 021:2015-33600000-6 Фармацевтична продукція (Фрелсі р-н д/ін. 2,5 мг/0,5 мл шприц №10)</t>
  </si>
  <si>
    <t>Код ДК 021:2015-33600000-6 Фармацевтична продукція (Фрелсі р-н д/ін. 2,5 мг/0,5 мл шприц, у блістері 0,5 мл №10)</t>
  </si>
  <si>
    <t>Код ДК 021:2015-33600000-6 Фармацевтична продукція (Фрелсі р-н д/ін. 2,5 мг/0,5мл шприц №10, фармасулін Н р-н д/ін 100МО/мл 10 мл №1, гепарин р-н д/ін. 500МО/мл 5мл №5)</t>
  </si>
  <si>
    <t>Код ДК 021:2015-33600000-6 Фармацевтична продукція (Фрелсі р-н для ін'єкцій 2,5 мг/0,5мл по  0,5 мл у шприці №10)</t>
  </si>
  <si>
    <t>Код ДК 021:2015-33600000-6 Фармацевтична продукція (Фрелсі розчин для ін'єкцій 2,5 мг/0,5 мл по 0,5 мл у шприці №10)</t>
  </si>
  <si>
    <t>Код ДК 021:2015-33600000-6 Фармацевтична продукція (Фурацилін табл. 20 мг №20, Фармадипін кр. 25 мл, Тазпен пор. д/р-ну д/ін. та інф. 4г/0,5г №1, Супрастин р-н д/ін. 20 мг 1 мл №5, Сульфокамфокаїн р-н д/ін. 10% 2 мл №10, Платифілін р-н д/ін. 2мг/мл 1 мл №10, Плазмовен р-н 500 мл, Перекис водню р-н 3% 40 мл, Папаверин р-н д/ін. 20мг/мл 2 мл №10, Пангастро пор. 40 мг №5, Но-шпа р-н д/ін. 40 мг 2 мл №25, Мурашиний спирт р-н 50 мл, Мікролакс р-н рект. 5 мл №4, Мезатон 1% 1 мл №10, Мезатон кр.очні 2,5% 5 мл, Люголя р-н з гліцерином 25 мл, Лідокаїн аер. 10% 38 г, Левоміцетин кр.очні 0,25% 10 мл, Кордіамін р-н д/ін. 2 мл №10, Корглікон р-н д/ін. 0,06% 1,0 №10, Корвалмент капс. 0,1 г №30, Кокарбоксилаза ліоф. д/п ін. р-ну 0,05 г 2 мл №10, Ізо-мік р-н д/інф. 0,1% 10 мл №10, Ізіклін конц. д/ор.р-ну 176 мл №2, Еуфілін р-н д/ін. 2% 5 мл №10, Алмірал р-н д/ін 75 мг 3 мл №10, Дофамін конц. д/п інф. р-ну 4% 5 мл №10, Димедрол р-н д/ін. 1% 1 мл №10, Диклофенак натрію р-н д/ін. 2,5% 3 мл №5, Диклодев р-н д/ін. 2,5% 3 мл №5, Дибазол р-н д/ін. 1% 5 мл №10, Глюкоза р-н д/інф. 40% 20 мл №10, Гідрокортизон р-н д/ін. 2,5% 2 мл №10 -t°, Гідазепам ІС табл. 0,02 №20, Вікасол-Д р-н д/ін. 1% 1 мл №10-t°, Верошпірон капс. 50 мг №30, Верапаміл р-н д/ін. 0,25% 2 мл №10, Ванкоміцин-Фармекс ліоф. д/п інф. р-ну 1000 мг №1, Бісопрол табл. 5 мг №50, Бензогексоній р-н д/ін. 2,5% 1 мл №10, Аспаркам р-н д/ін. 5 мл №10, Аскорбінова к-та р-н д/ін. 10% 2 мл №10, Анальгін-Дарниця р-н д/ін. 50% 2 мл №10, Амінокапронова к-та 5% 100 мл, Аміназин р-н 2,5% 2 мл №10, Аміаку р-н 10% 40 мл, Алкаін кр.очні 0,5% 15 мл -t°, Аерофілін табл. 400 мг №20, L-лізину есцинат р-н д/ін. 0,1% 5 мл №10)</t>
  </si>
  <si>
    <t>Код ДК 021:2015-33600000-6 Фармацевтична продукція (Цефтріаксон-КМПпор. д/п р-ну 1 г №10, фуросемід р-н д/ін 1% 2 мл №10, спирт етиловий р-н 96% 100 мл, спирт етиловий р-н 70% 100 мл, рафт р-н д/ін. 4 мг 1 мл №10, муколван р-н д/ін. 0,75% 2 мл №5, метоклопрамід р-н д/ін. 0,5% 2 мл №10, медоклав пор. д/п ін. р-ну фл. 1,2г №10, медаксон пор. 1 г №10, магнію сульфат р-н д/ін. 25% 5 мл №10, левопро р-н д/інф 500 мг 150 мл №1, левопро р-н д/інф 500 мг 100 мл №1, кальцію глюконат р-н д/ін. 10% 5 мл №10, євроцефтаз пор. д/п ін. р-ну 1000-125 мг №1, єврозидим пор. д/п р-ну д/інг 1 г №10, дексаметазону фосфат р-н д/ін. 0,4% 1 мл №10, гепацеф пор. д/п ін. р-ну 1 г №10, вомікайнд р-н д/ін 2 мг/мл 4 мл №4, вомікайнд р-н д/ін 2 мг/мл 2 мл №4, амоксиклав пор. д/п р-ну 1200 мг №5)</t>
  </si>
  <si>
    <t>Код ДК 021:2015-33600000-6 Фармацевтична продукція (абипим пор. д/п р-ну 1000 мг №1, емсеф пор. д/п ін. р-ну 1000 мг)</t>
  </si>
  <si>
    <t>Код ДК 021:2015-33600000-6 Фармацевтична продукція (адреналін- Дарниця р-н д/ін. 1,8 мг/мл 1 мл, контурн. чарунк. уп., пачка №10, амоксиклав пор. д/р-ну д/ін. 1000 мг+200 мг фл. №5, атропін-Дарниця р-н д/ін. 1 мг/мл амп. 1 мл, контурн. чарунк. уп., пачка №10, клексан 300 р-н д/ін 10000 анти-Ха МЕ/1 мл фл. багатодоз. 3 мл №1, гепарин-Фармекс р-н д/ін. 5000 МО/мл фл 5 мл №5, дексаметазону фосфат р-н д/ін 4 мг/мл амп 1 мл в пачці №10, рафт р-н д/ін 4 мг/мл амп. 1 мл, блістер у пачці №10, кальцію глюконат-Дарниця (стабілізований) р-н д/ін 100 мг/мл амп. 5 мл, контурн. чарунк. уп. №10 магнію сульфат-Дарниця р-н д/ін. 250 мг/мл амп. 5 мл, контурн. чарунк. уп.№10, метоклопраміду гідрохлорид р-н д/ін 5 мг/мл амп 2 мл у касеті у пачці №10, муколван р-н д/ін 7,5 мг/мл амп. 2 мл в пачці №5, омез ліофіл д/п р-ну 40 мг фл №1, налоксон-ЗН р-н д/ін 0,4 мг/мл амп. 1 мл, коробка №10, преднізолон-Дарниця р-н д/ін 30 мг/мл амп. 1мл, контурн. чарунк уп., пачка №5)</t>
  </si>
  <si>
    <t>Код ДК 021:2015-33600000-6 Фармацевтична продукція (адреналін-Дарниця р-н д/ін, 1,8 мг/мл амп.1 мл, контурн. чарунк., уп., пачка №10, амоксил-К, пор. д/п ін. р-ну 1,2 г фл. №1, гепарин-Фармекс р-н д/ін. 5000 МО/мл фл. 5 мл №5, дексаметазону фосфат р-н д/ін. 4 мг/мл амп. 1 мл, пачка №10, хлоргексидин-Віола р-н д/зовн. застос. 0,05% фл. 200 мл №1, фуросемід-Дарниця р-н д/ін. 10 мг/мл амп 2 мл, контурн. чарунк. уп., пачка №10, спирт етиловий 70% р-н 70% фл. скляний 100 мл №1, спирт етиловий 96% р-н 96% фл. скляний 100 мл №1, метронідазол-Дарниця р-н д/інф. 5 мг/мл фл. 100 мл №1, метоклопрамід-Дарниця р-н д/ін. 5 мг/мл амп. 2 мл контурн. чарунк. уп., пачка №10, натрію хлорид-Дарниця р-н д/інф. 9 мг/мл фл. 100 мл №1, магнію сульфат-Дарниця р-н д/ін. 250 мг/мл амп. 5 мл, контурн. чарунк.уп. №10, кордарон р-н д/ін. 150 мг амп. 3 мл №6, кальцію глюконат-Дарниця (стабілізований) р-н д/ін. 100 мг/мл амп. 10 мл, контурн. чарунк. уп., пачка №10)</t>
  </si>
  <si>
    <t>Код ДК 021:2015-33600000-6 Фармацевтична продукція (адреналін-Дарниця р-н д/ін. 1,8 мг/мл амп. 1мл, контурн. чарунк. уп., пачка №10, атропін-Дарниця р-н  р-н д/ін. 1 мг/мл амп. 1мл, контурн. чарунк. уп., пачка №10, натрію аденозинтрифосфат-Дарниця р-н д/ін. 10 мг/мл амп. 1мл, контурн. чарунк. уп., пачка №10, гепарин-Фармекс р-н д/ін. 5000 МО/мл фл. 5 мл №5, дексаметазон-Дарниця р-н д/ін. 4мг/мл амп. 1 мл №5, кордарон р-н д/ін. 150 мг амп. 3 мл. №6, левопро р-н д/інф. 500 мг/100 мл контейнер 100мл в пакеті п/е у коробці №1,  левопро р-н д/інф. 500 мг/100 мл контейнер 150мл в пакеті п/е у коробці №1,  магнію сульфат-Дарниця р-н д/ін 250 мг/мл амп. 5 мл, контурн. чарунк. уп. №10, європенем пор. д/п ін. р-ну 1г фл. №10, метронідазол-Дарниця р-н д/інф. 5 мг/ мл фл. 100 мл №1, муколван р-н д/ін. 7,5 мг/мл амп. 2 мл в пачці №5, медаксон пор. д/п ін. р-ну 1г фл. №10, медоклав пор. д/п р-ну д/ін. та инф. 1000 мг+200мг фл. №10, фармасулін Н р-н д/ін. 100 МО/мл фл. 10мл №1, фуросемід-Дарниця р-н д/ін. 10 мг/мл амп. 2мл, контурн. чарунк. уп. пачка №10, натрію хлорид-Дарниця р-н д/інф. 9 мг/мл фл. 100 мл №1)</t>
  </si>
  <si>
    <t>Код ДК 021:2015-33600000-6 Фармацевтична продукція (актемра конц. д/інф 80 мг/4мл №1)</t>
  </si>
  <si>
    <t>Код ДК 021:2015-33600000-6 Фармацевтична продукція (амоксил-К пор. д/п р-ну 1,2 г фл. №1, гепарин-Фармекс р-н д/ін. 5000 МО/мл фл. 5 мл №5, гепацеф пор. д/р-ну д/ін. 1 г, фл. контурн. чарунк. уп., пачка №10, гепацеф-Комбі пор. д/р-ну д/ін. 1 г+1 г фл. №1, дексаметазону фосфат р-н д/ін. 4 мг/мл амп. 1 мл, в пачці №10, кальцію глюконат стабілізований р-н д/ін. 100 мг/мл амп 5 мл, блістер №10, кордарон р-н д/ін 150 мг амп. 3 мл №6, магнію сульфат-Дарниця р-н д/ін. 250 мг/мл амп. 5 мл, контурінг. чарунк уп. №10, метрогіл р-н д/інф. 500 мг фл. 100 мл №1, метоклопрамід-Дарниця р-н д/ін. 5 мг/мл амп. 2 мл, контурінг. чакунк, уп., пачка №10, муколван р-н д/ін. 7,5 мг/мл амп. 2 мл., в пачці №5, преднізолон р-н д/ін. 30 мг/мл амп. 1 мл у блістері у пачці №5, фармасулін-Н р-н д/ін. 100 МО/мл фл. 10 №1, фуросемід-Дарниця р-н д/ін 10 мг/мл амп. 2 мл, котурінг. чарунк. уп., пачка №10)</t>
  </si>
  <si>
    <t>Код ДК 021:2015-33600000-6 Фармацевтична продукція (амоксил-К пор. д/п ін. р-ну 1,2 г фл. №1)</t>
  </si>
  <si>
    <t>Код ДК 021:2015-33600000-6 Фармацевтична продукція (анальгін Дарниця р-н д/ін. 50% 2 мл №10)</t>
  </si>
  <si>
    <t xml:space="preserve">Код ДК 021:2015-33600000-6 Фармацевтична продукція (анальгін Дарниця р-н д/ін. 50% 2 мл №10)
</t>
  </si>
  <si>
    <t>Код ДК 021:2015-33600000-6 Фармацевтична продукція (атракуріум 10 мг/мл 2,5 №5, атракуріум 10 мг/мл 5,0 №5)</t>
  </si>
  <si>
    <t>Код ДК 021:2015-33600000-6 Фармацевтична продукція (браксон р-н 40 мг/мл 2 мл, реосорбілакт р-н 200 мл)</t>
  </si>
  <si>
    <t>Код ДК 021:2015-33600000-6 Фармацевтична продукція (бренем 1000 порошок для розчину для ін'єкцій, по 1000 мг по 1 фл у картонній коробці, метронідазол розчин для інфузій 0,5% по 100 мл у контейнері, цефтріаксон Ананта порошок для розчину для ін'єкцій ро 2г у флаконах №1, медацет-1000 порошок для розчину для ін'єкцій по 1000 мг, по 1фл. у картонній упаковці, цефотаксим порошок для розчину для ін'єкцій 1,0 №1, дексаметазон розчин для ін'єкцій, 4 мг/мл по 1 мл в ампулі; по 5 ампул в пачці з картону, санпім-1000 порошок для розчину для ін'єкцій, по 1000 мг по 1 фл. в картонній упаковці, флуконазол розчин для інфузій, 200 мг/100 мл ро 100 мл в контейнері №1)</t>
  </si>
  <si>
    <t>Код ДК 021:2015-33600000-6 Фармацевтична продукція (біблок р-н для інфузій,10 мг/мл, по 50мл в пакетах №1, браксон р-н 40мг/мл 2 мл ампули №10, реосорбілакт р-н 200мл)</t>
  </si>
  <si>
    <t>Код ДК 021:2015-33600000-6 Фармацевтична продукція (гепацеф Комбі пор. д/п ін. р-ну 2г №1 )</t>
  </si>
  <si>
    <t>Код ДК 021:2015-33600000-6 Фармацевтична продукція (дексаметазон-Дарниця р-н д/ін. 4 мг/мл амп. 1 мл. №5, фармасулін Н р-н д/ін 100 МО/мл фл. 10 мл №1)</t>
  </si>
  <si>
    <t>Код ДК 021:2015-33600000-6 Фармацевтична продукція (дексаметазон-Дарниця р-н д/ін. 4мг/мл 1 мл №10, спирт етиловий р-н 69% 100мл)</t>
  </si>
  <si>
    <t>Код ДК 021:2015-33600000-6 Фармацевтична продукція (дофамін конц. д/п інф.р-ну 4% 5 мл №10)</t>
  </si>
  <si>
    <t>Код ДК 021:2015-33600000-6 Фармацевтична продукція (екстенцеф пор. д/п ін. р-ну 1000 мг фл. №1)</t>
  </si>
  <si>
    <t>Код ДК 021:2015-33600000-6 Фармацевтична продукція (еноксапарин р-н д/ін 0,4г №1)</t>
  </si>
  <si>
    <t>Код ДК 021:2015-33600000-6 Фармацевтична продукція (еноксапарин р-н д/ін. 0,4г №1)</t>
  </si>
  <si>
    <t>Код ДК 021:2015-33600000-6 Фармацевтична продукція (еноксапарин р-н д/ін. 63 мл №1)</t>
  </si>
  <si>
    <t>Код ДК 021:2015-33600000-6 Фармацевтична продукція (катеджель з лідокаїном гель уретральний 12,5 г №25)</t>
  </si>
  <si>
    <t>Код ДК 021:2015-33600000-6 Фармацевтична продукція (кванадекс, концентрат для розчину для інфузій 100 мкг/мл 2 мл в ампулі №5)</t>
  </si>
  <si>
    <t>Код ДК 021:2015-33600000-6 Фармацевтична продукція (кванадекс, концентрат для розчину для інфузій, 100 мкг/мл по 2 мл в ампулі по 5 ампул в пачці)</t>
  </si>
  <si>
    <t>Код ДК 021:2015-33600000-6 Фармацевтична продукція (кетамін ЗН 50 мг/мл 2,0)</t>
  </si>
  <si>
    <t>Код ДК 021:2015-33600000-6 Фармацевтична продукція (клексан р-н д/ін. 4000 МО шприц 0,4 мл №10, еноксапарин д/ін. 0,4 г №1)</t>
  </si>
  <si>
    <t>Код ДК 021:2015-33600000-6 Фармацевтична продукція (клексан р-н д/ін. 8000 МО шприц 0,8 мл №2, еноксапарин р-н д/ін. 0,4г №1)</t>
  </si>
  <si>
    <t>Код ДК 021:2015-33600000-6 Фармацевтична продукція (клексан р-н д/ін. 8000 МО шприц 0,8 мл №2, клексан р-н д/ін. 4000 МО шприц 0,4 мл №10, арікстра р-н д/ін 2,5 мг/0,5мл №10)</t>
  </si>
  <si>
    <t xml:space="preserve">Код ДК 021:2015-33600000-6 Фармацевтична продукція (корглікон р-н д/ін. 0,6 мг/мл амп. 1 мл пачка №10, кордіамін-Дарниця р-н д/ін 250 мг/мл амп.2 мл, контурн. чарунк. уп., пачка №10,  еуфілін-Дарниця р-н д/ін. 20 мг/мл амп. 5 мл №10, димедрол-Дарниця р-н д/ін. 10 мг/мл амп. 1 мл, контурн. чарунк. уп., пачка №10, кофеїн-бензоат натрію-Дарниця р-н д/ін. 100 мг/мл амп.1,контурн. чарунк. уп., пачка №10, дратаверин-Дарниця р-н д/ін. 20 мг/мл амп. 2 мл, контурн. чарунк. уп., пачка №5, супрастин р-н д/ін. 20 мг амп. 1 мл №5, папаверин-Дарниця р-н д/ін. 20 мг/мл амп. 2 мл, контурн. чарунк. уп., пачка №10, дибазол-Дарниця р-н д/ін. 10 мг/мл амп. 1 мл,контурн. чарунк. уп., пачка №10, платифілін-Дарниця р-н д/ін. 2 мг/мл амп. 1 мл,контурн. чарунк. уп., пачка №10, мезатон р-н д/ін. 10 мг/мл амп. 1 мл, блістер у пачці №10, рибоксин-Дарниця р-н д/ін. 20 мг/мл амп. 5 мл №10, аспаркам р-н д/ін. амп. 5 мл, блістер у пачці №10)
</t>
  </si>
  <si>
    <t>Код ДК 021:2015-33600000-6 Фармацевтична продукція (кордарон р-н д/ін. 3 мл №6)</t>
  </si>
  <si>
    <t>Код ДК 021:2015-33600000-6 Фармацевтична продукція (лазолекс р-н для ін'єкцій 7,5мг/мл 2 мл №5, левоцин-Н р-н для інфузій 500 мг/100мл 150 мл)</t>
  </si>
  <si>
    <t>Код ДК 021:2015-33600000-6 Фармацевтична продукція (лазолекс р-н для ін. 7,5 мг/мл, 2 мл №5)</t>
  </si>
  <si>
    <t>Код ДК 021:2015-33600000-6 Фармацевтична продукція (лазолекс розчин для ін'єкцій 7,5 мг/мл, 2мл №5)</t>
  </si>
  <si>
    <t>Код ДК 021:2015-33600000-6 Фармацевтична продукція (лазолекс, розчин для ін'єкцій 7,5 мг/мл 2 мл №5)</t>
  </si>
  <si>
    <t>Код ДК 021:2015-33600000-6 Фармацевтична продукція (левопро р-н д/інф. 500 мг 150 мл №1, левасепт р-н д/інф. 500 мг/100 мл, клексан р-н д/ін. 400 МО шприц 0,4 мл №10, євроцефтаз пор. д/п ін. р-ну 1000+125 мг №1, європенем пор. д/п ін. р-ну 1 г №10, єврозидим пор. д/п р-ну д/інг. 1 г №10,  екстенцеф пор. д/п ін. р-ну 1000 мг фл №1, демопенем пор. д/п ін. р-ну 10001 мг №1,  вомікайнд р-н д/ін 2 мг/мл 4 мл №4, бліцеф пор. д/інф. 1 г №10)</t>
  </si>
  <si>
    <t>Код ДК 021:2015-33600000-6 Фармацевтична продукція (левопро р-н д/інф. 500 мг 150 мл №1, левопро р-н д/інф. 500 мг 100 мл №1, євроцефтаз пор. д/п ін. р-ну 1000+125 мг №1, європенем пор. д/п ін. р-ну 1г №10, європенем пор. д/п ін. р-ну 500мг №10, єврозидим пор. д/п р-ну д/інг. 1г №10, екстенцеф пор. д/п ін. р-ну 1000 мг фл. №1, вомікайнд р-н 2 мг/мл 4 мл №4,  вомікайнд р-н 2 мг/мл 2 мл №4, бліцеф пор. д/інф 1г №10)</t>
  </si>
  <si>
    <t>Код ДК 021:2015-33600000-6 Фармацевтична продукція (левопро р-н д/інф. 500 мг 150 мл№1, левопро р-н д/інф. 500 мг 100 мл№1, європенем пор. д/п ін. р-ну 1г №10, єврозидим пор. д/п р-ну д/інг. 1г №10)</t>
  </si>
  <si>
    <t>Код ДК 021:2015-33600000-6 Фармацевтична продукція (левофлоксацин р-н д/ інф. 0,5% пляш. 100 мл №1)</t>
  </si>
  <si>
    <t>Код ДК 021:2015-33600000-6 Фармацевтична продукція (левофлоксацин р-н д/інф. 0,5% пляш. 100мл №1, натрію хлорид р-н д/інф. 0,9% пляш. 100 мл №1)</t>
  </si>
  <si>
    <t>Код ДК 021:2015-33600000-6 Фармацевтична продукція (левофлоксацин-Віста, розчин для інф. по 5мг/мл по 100 мл в контейнері в захисному пакеті, меробак порошок для принотування розчину для ін'єкцій по 1000 мг у флаконах)</t>
  </si>
  <si>
    <t>Код ДК 021:2015-33600000-6 Фармацевтична продукція (медаксон пор. д/п ін. р-ну 1 г фл. №10, медоклав пор. д/п р-ну д/ін. та инф. 1000 мг+200 мг фл. №10)</t>
  </si>
  <si>
    <t>Код ДК 021:2015-33600000-6 Фармацевтична продукція (медацет-1000, порошок для розчину для ін. по 1000 мг у флаконі №1, санаксон-2000, порошок для розчину для ін. по 2000 мг у флаконі №1)</t>
  </si>
  <si>
    <t>Код ДК 021:2015-33600000-6 Фармацевтична продукція (меропенем-Віста, порошок для приготування розчину для ін'єкцій по 1000 мг у флаконах, меробак, порошок для приготування розчину для ін'єкцій по 1000 мг; 10 флаконів з порошком з маркуванням укр. мовою у картопляній коробці, цефтриаксон-Віста порошок для розчину для ін'єкцій по 1г у флаконі, левофлоксацин-Віста, розчин для інф. по 5мг/мл по 10 мл в контейнері в захисному пакеті)</t>
  </si>
  <si>
    <t>Код ДК 021:2015-33600000-6 Фармацевтична продукція (меропенем-Віста, порощок для приготування розчину для ін. по 1000 мг у флаконах, меробак, пор. для приготування розчину для ін. по 1000 мг; 10 флак. з порошком з маркуванням укр. мовою у картонній коробці, цефтриаксон-Віста, пор. для розчину для ін. по 1г у флаконі)</t>
  </si>
  <si>
    <t>Код ДК 021:2015-33600000-6 Фармацевтична продукція (моксифлоксацин 1,6 мг/мл розчин для інфузій, 250мл)</t>
  </si>
  <si>
    <t>Код ДК 021:2015-33600000-6 Фармацевтична продукція (муколван р-н д/ін. 7,5 мг/мл амп. 2 мл в пачці №5)</t>
  </si>
  <si>
    <t>Код ДК 021:2015-33600000-6 Фармацевтична продукція (муколван р-н д/ін. 7,5 мг/мл амп. 2 мл, в пачці №5, цефопектам пор. д/р-ну д/ін. 1г+1г фл. №1)</t>
  </si>
  <si>
    <t>Код ДК 021:2015-33600000-6 Фармацевтична продукція (муколван р-н д/ін. 7,5мг/мл амп. 2 мл, в пачці №5)</t>
  </si>
  <si>
    <t>Код ДК 021:2015-33600000-6 Фармацевтична продукція (натрію аденозинтрифосфат-Дарниця р-н д/ін 10 мг/мл амп. 1 мл, контурн. чарунк. уп., пачка №10, амоксил-К пор. д/п ін. р-ну 1,2г фл. №1, гепарин-Фармекс р-н д/ін 5000 МО/мл фл. 5 мл №5, дексаметазон-Дарниця р-н д/ін. 4 мг/мл амп. 1 мл №5, дексаметазону фосфат р-н д/ін 4 мг/мл амп. 1 мл, в пачці №10, преднідозол-Дарниця р-н д/ін. 30 мг/мл 1 мл, контурн. чарунк. уп., пачка №5, кордарон р-н д/ін. 150 мг амп.3 мл. №6, магнію сульфат-Дарниця р-н д/ін. 250 мг/мл амп. 5 мл, контурн. чарунк. уп., пачка №10, меропенем-Віста пор. д/ру д/ін. 1000 мг. фл. №10, європенем пор. д/п ін. р-ну 1г фл. №10, метоклопрамід -Дарниця р-н д/ін 5 мг/мл амп. 2 мл, контурн. чарунк. уп., пачка №10, муколван р-н д/ін. 7,5 мг/мл амп. 2 мл, в пачці №5, медаксон пор. д/п ін. р-ну 1 г фл. №10, медоклав пор. д/п р-ну д/ін. та інф. 1000 мг+200 мг. фл. №10, парацетамол-Дарниця табл. 500 мг контурн. чарунк. уп., пачка №10, фуросемід-Дарниця р-н д/ін. 10 мг/мл 2 мл, контурн. чарунк. уп., пачка №10, хлоргексидин р-н д/зовн. застос. 0,05% фл. 100 мл №1, флуконазол-Дарниця р-н д/інф. 2 мг/мл фл. 100 мл №1)</t>
  </si>
  <si>
    <t>Код ДК 021:2015-33600000-6 Фармацевтична продукція (натрію хлорид -Дарниця р-н д/ін. 9 мг/мл амп. 10 мл №10)</t>
  </si>
  <si>
    <t>Код ДК 021:2015-33600000-6 Фармацевтична продукція (натрію хлорид р-н 0,9% 200 мл, рінгер лактатний р-н 200 мл, глюкоза р-н 5% 200 мл)</t>
  </si>
  <si>
    <t>Код ДК 021:2015-33600000-6 Фармацевтична продукція (натрію хлорид р-н 0,9% 200 мл, рінгер лактатний р-н 200мл, Рінгера р-н 200 мл)</t>
  </si>
  <si>
    <t>Код ДК 021:2015-33600000-6 Фармацевтична продукція (натрію хлорид р-н 0,9% 200мл, Рінгера р-н 200мл, Рінгер лактатний р-н 200мл, глюкоза р-н 200 мл)</t>
  </si>
  <si>
    <t>Код ДК 021:2015-33600000-6 Фармацевтична продукція (натрію хлорид, р-н д/інф. 0,9% по 100 мл у контейнері, глюкоза, р-н д/інф. 5% по 200 мл у контейнері, глюкоза, р-н д/інф. 10% по 200 мл у контейнері, лєвофлоксацин, р-н для інфузій, 500 мл/100 мл по 100 мл у контейнері, моксимак, р-н д/інф. 400 мл/250 мл по 250 мл у контейнері, натрію хлорид, р-н д/інф. 0,9% по 200 мл у контейнері, Рінгера розчин, р-н д/інф. по 500 мл в контейнерах)</t>
  </si>
  <si>
    <t>Код ДК 021:2015-33600000-6 Фармацевтична продукція (оменакс пор. д/ін 40 мг, еноксапарин р-н д/ін. 0,4г №1, демопенем пор. д/ін. р-ну 1000 мг №1, арікстра р-н д/п 2,5 мг/0,5 мл №10)</t>
  </si>
  <si>
    <t>Код ДК 021:2015-33600000-6 Фармацевтична продукція (омепразол 20 Ананта капсули по 20 мг; по 10 капсул у блістері; по 10 блістерів у пачці, омепразол-Вокате ліофілізат для розчину для ін'єкцій по 40г у флаконах №1 у комплекті з розчинником по 10 мл в ампулах №1, бренем 1000 порошок для розчину для ін'єкцій по 1000 мг по 1 флакону у картонній коробці, левофлоксацин євро розчин для інфузій, 500 мг/100мл по 100 мл у контейнері з полівінілхлориду; по 1 контейнеру в поліетиленовому пакеті в картонній упаковці, санпім-1000 порошок для розчину для ін'єкцій, по 1000 мг по 1 флакону у картонній упаковці, цефотаксим порошок для розчину для ін'єкцій 1,0 №1)</t>
  </si>
  <si>
    <t>Код ДК 021:2015-33600000-6 Фармацевтична продукція (парамол р-н для інф. 1000мг/100мл, по 100 мл в контейнері з поліпропілену, левофлоксацин р-н для інф. 500мл/100мл, по 100 мл у контейнері, натрію хлорид р-н для інф. 0,9% по 100 мл в контейнері з поліпропіленунатрію хлорид р-н для інф. 0,9% по 200 мл в контейнері з поліпропілену, Рінгера р-н, р-н для інф. по 500 мл в контейнерах)</t>
  </si>
  <si>
    <t>Код ДК 021:2015-33600000-6 Фармацевтична продукція (преднідозол-Дарниця розчин д/ін. 30 мг 1 мл №3)</t>
  </si>
  <si>
    <t>Код ДК 021:2015-33600000-6 Фармацевтична продукція (преднідозол-Дарниця розчин д/ін. 30 мг 1 мл №5, магнію сульфат р-н д/ін. 25% 5 мл №10, дексаметазону фосфат р-н д/ін. 0,4% 1 мл №10, адреналіну г/т 0,18% 1 мл №10)</t>
  </si>
  <si>
    <t>Код ДК 021:2015-33600000-6 Фармацевтична продукція (пропофол-Ліпуро емул. д/інф. 1% 10 мг/мл 20 мл №5)</t>
  </si>
  <si>
    <t>Код ДК 021:2015-33600000-6 Фармацевтична продукція (пропофол-ново д/ін  мг/мл 20,0 №5, сибазон 0,5% 2,0, морфін г/хл. 1% 1,0)</t>
  </si>
  <si>
    <t>Код ДК 021:2015-33600000-6 Фармацевтична продукція (пропофол-ново емул. д/ін. 10 мг/мл 20,0 №5)</t>
  </si>
  <si>
    <t>Код ДК 021:2015-33600000-6 Фармацевтична продукція (протафан НМ Флекспен сусп. д/ін 100МО/мл картридж 3мл №5 (інсулін), новоралід Флекпен р-н д/ін 100 ОД/мл картридж 3мл №5 (інсулін), левемір Флекспен р-н д/ін.100 ОД/мл картридж 3мл №5 шпри-ручка (інсулін))</t>
  </si>
  <si>
    <t>Код ДК 021:2015-33600000-6 Фармацевтична продукція (сальбутамол-Інтелі сусп. д/інг 100 мкг 200доз, натрію хлорид р-н д/інф. 0,9% 500 мл, адреналіну г/т 0,18% 1 мл №10)</t>
  </si>
  <si>
    <t>Код ДК 021:2015-33600000-6 Фармацевтична продукція (сибазон 0,5% 2,0)</t>
  </si>
  <si>
    <t>Код ДК 021:2015-33600000-6 Фармацевтична продукція (сибазон 0,5% 2,0, морфін г/хл 1% 1,0)</t>
  </si>
  <si>
    <t>Код ДК 021:2015-33600000-6 Фармацевтична продукція (судьцеф пор. д/р-ну д/ін. 1г+1г фл. №1, бренем 1000 пор.д/р-ну д/ін. 1000 мг фл. №1)</t>
  </si>
  <si>
    <t>Код ДК 021:2015-33600000-6 Фармацевтична продукція (сульцеф пор. д/п р-ну 1г/1г №1)</t>
  </si>
  <si>
    <t>Код ДК 021:2015-33600000-6 Фармацевтична продукція (сульцеф пор. д/п ін. р-нк 1г/1г №1, клексан р-н д/ін. 8000МО шприц 0,8 мл №2)</t>
  </si>
  <si>
    <t>Код ДК 021:2015-33600000-6 Фармацевтична продукція (сульцеф пор. д/п ін. р-ну 1г/1 №1)</t>
  </si>
  <si>
    <t>Код ДК 021:2015-33600000-6 Фармацевтична продукція (сульцеф пор. д/п ін. р-ну 1г/1г №1, омепразол  ліоф. д/п інф. р-ну 40 мг №1, кордарон р-н д/ін. 3 мл №6, клексан р-н д/ін. 4000 МО шприц 0,4 мл №10, європенем пор. д/п  ін. р-ну 1г №10, гепацеф пор. д/п ін.р-ну 1г №10, гепарин р-н д/ін. 5000ОД 5 мл №5)</t>
  </si>
  <si>
    <t>Код ДК 021:2015-33600000-6 Фармацевтична продукція (туберкулін р-н д/ін. 2 ТЕ/доза 0,6 мл (6 доз))</t>
  </si>
  <si>
    <t>Код ДК 021:2015-33600000-6 Фармацевтична продукція (тіопентал 0,5)</t>
  </si>
  <si>
    <t>Код ДК 021:2015-33600000-6 Фармацевтична продукція (тіопентал 05, сибазон 0,5% 2,0)</t>
  </si>
  <si>
    <t>Код ДК 021:2015-33600000-6 Фармацевтична продукція (фармадипін кр. 5 мл, рибоксин р-н д/ін. 2% 5 мл. №10, платифілін р-н д/ін. 2 мг/мл 1 мл №10, перекись водню р-н 3% 40 мл, папаверин р-н д/ін. 20 мг/мл 2 мл №10, пантенол плюс, крем 30г, пантенол аер 58г, но-шпа р-н д/ін. 40 мг 2 мл №25, натрію хлорид д/інф. 0,9% 5мл №10, кофеїн-бензоат натрію р-н д/ін. 10% 1 мл №10, кордіамін р-н д/ін. 2 мл. №10, корглікон р-н д/ін. 0,06% 1,0 №10, еуфілін р-н д/ін 2% 5 мл №10, етамзилат р-н д/ін. 12,5% 2 мл №10, демедрол р-н д/ін. 1% 1 мл №10, валідол-Дарниця, табл. 0,06г №10, бензилбензоату емул. 20% 50г, барбовал 25 мл, аспаркам р-н д/ін 5 мл №10, анальгін р-н д/ін. 50% 2 мл №10, аміаку р-н 10% 40 мл, дибазол р-н д/ін. 1% 1 мл №10)</t>
  </si>
  <si>
    <t>Код ДК 021:2015-33600000-6 Фармацевтична продукція (фентаніл 0,005% 2,0)</t>
  </si>
  <si>
    <t>Код ДК 021:2015-33600000-6 Фармацевтична продукція (фленокс р-н д/ін. 4000 анти-Ха МО шприц 0,4мл №10, емсеф пор. д/п ін. р-ну 1000 мг, дексаметазон р-н д/ін. 4мг/мл 1 мл №25, гепацеф Комбі пор. д/п ін. р-ну 2г №1, бліцеф пор. д/інф. 1г №1, АЦЦ гар. напій 600 мг №6, арікстра р-н д/ін 2,5 мг/0,5 мл №10, кефлім пор. д/р-ну д/ін.1000 мг №1)</t>
  </si>
  <si>
    <t>Код ДК 021:2015-33600000-6 Фармацевтична продукція (фленокс р-н д/ін. 4000 анти-Ха МО шприц 0,4мл №10, клексан р-н д/ін. 4000МО шприц 0,4 мл №10)</t>
  </si>
  <si>
    <t>Код ДК 021:2015-33600000-6 Фармацевтична продукція (флуконазол, розчин д/інф, 200 мг/100мл по 100 мл в контейнері №1, супралев, р-н д/інф., 500 мг/100мл, по 100 мл у контейнері з полівінілхлориду, по 1 контейнеру поліетиленовому пакеті в картонній упаковці, Рінгера розчин, р-н д/інф. по 200 мл у контейнері №1, атракурій калцекс, р-н для ін. 10мг/мл по 5 мл в ампулі №5)</t>
  </si>
  <si>
    <t>Код ДК 021:2015-33600000-6 Фармацевтична продукція (фрелсі  р-н д/ін. 2,5 мг/0,5 мл шприц №10, фленокс р-н д/ін. 4000 анти-Ха МО шприц 0,4 мл №10, еноксапарин р-н д/ін 0,4г №1)</t>
  </si>
  <si>
    <t>Код ДК 021:2015-33600000-6 Фармацевтична продукція (фрелсі р-н д/н 2,5 мг/0,5мл шприц №10, клексан р-н д/ін. 4000МО шприц 0,4 мл №10)</t>
  </si>
  <si>
    <t>Код ДК 021:2015-33600000-6 Фармацевтична продукція (фрелсі р-н д/ін 2,5мг/0,5 мл шприц №10)</t>
  </si>
  <si>
    <t>Код ДК 021:2015-33600000-6 Фармацевтична продукція (фрелсі р-н д/ін. 2,5 мг/0,5мл шприц №10)</t>
  </si>
  <si>
    <t>Код ДК 021:2015-33600000-6 Фармацевтична продукція (фрелсі р-н д/ін. 2,5 мг/0,5мл шприц №10, солу-медрол пор. д/п ін. р-ну 125 мг/2 мл №1, кальцію глюконат-Дарниця р-н д/ін. 10% 5мл №10, еноксапарин р-н д/ін. 0,4г №1, фуросемід р-н д/ін. 1% 2 мл №10, спирт етиловий 96% 100 мл, спирт етиловий 70% 100 мл, муколван р-н д/ін. 0,75% 2 мл №5, метронідазол р-н д/інф. 0,5% 100 мл, метоклопрамід-Д р-н д/інф. 0,5% 2 мл, медоклав пор. д/п ін. р-ну фл. 1,2г №10, медаксон пор. 1г №10, магнію сульфат р-н д/ін. 25% 5 мл. №10, кордарон р-н д/ін. 3 мл №6, дексаметазону фосфат р-н д/ін. 0,4% 1 мл №10, гепацеф пор. д/п р-ну 1 г №10, гепарин р-н д/ін. 5000 МО/мл 5 мл №5, адреналіну г/т 0,18% 1мл №10)</t>
  </si>
  <si>
    <t>Код ДК 021:2015-33600000-6 Фармацевтична продукція (фрелсі р-н д/ін. 2,5 мг/0,5мл, шприц 10, еноксапарин р-н д/ін 0,4г №1, екстенцеф пор. д/п ін. р-ну 1000 мг фл.№1, арікстра р-н д/ін. 2,5 мг/0,5 мл №10)</t>
  </si>
  <si>
    <t>Код ДК 021:2015-33600000-6 Фармацевтична продукція (фрелсі р-н д/ін. 2,5мг/0,5мл шприц №10, еноксапарин р-н д/ін. 0,4г №1)</t>
  </si>
  <si>
    <t>Код ДК 021:2015-33600000-6 Фармацевтична продукція (фрелсі р-н д/ін. 2,5мг/0,5мл шприц №10, левопро р-н д/інф. 500 мг 100 мл №1, екстенцеф пор. д/п ін. р-ну 1000 мг фл. №1)</t>
  </si>
  <si>
    <t>Код ДК 021:2015-33600000-6 Фармацевтична продукція (фрелсі р-н д/ін. 2,5мг/0,5мл шприц №10, левопро р-н д/інф. 500 мг 100 мл №1, європенем пор. д/п ін. р-ну 1г №10, еноксапарин р-н д/ін 0,4г №1, екстенцеф пор. д/п ін. р-ну 1000 мг фл. №1)</t>
  </si>
  <si>
    <t>Код ДК 021:2015-33600000-6 Фармацевтична продукція (фрелсі р-н д/ін. 2,5мг/0,5мл шприц №10, європенем пор. д/ін. р-ну 1г №10, еноксапарин р-н д/ін. 0,4г №1, емсеф пор. д/п ін. р-ну 1000 мг, абипим пор. д/п ін. р-ну 1000 мг №1)</t>
  </si>
  <si>
    <t>Код ДК 021:2015-33600000-6 Фармацевтична продукція (фрелсі р-н д/ін. 2,5мг/0,5мл, еноксапарин р-н д/ін 0,4г №1)</t>
  </si>
  <si>
    <t>Код ДК 021:2015-33600000-6 Фармацевтична продукція (фрелсі розчин д/ін. 2,5 мг/0,5мл, шприц №10, натрію хлорид -Дарниця р-н д/інф. 9 мг/мл 100 мл)</t>
  </si>
  <si>
    <t>Код ДК 021:2015-33600000-6 Фармацевтична продукція (фрелсі розчин для ін. 2,5 мг/0,5 мл по 0,5 млу шприці; №10)</t>
  </si>
  <si>
    <t>Код ДК 021:2015-33600000-6 Фармацевтична продукція (фуросемід р-н д/ін 1% 2 мл №10, спирт етиловий р-н 96% 100 мл, спирт етиловий р-н 70% 100 мл, нітрогліцерин табл. 0,5 мг №40, натрію хлорид д/інф 0,9% 200мл, магнію сульфат р-н д/ін. 25% 5 мл №10, кальцію глюконат-Дарниця р-н д/ін. 10% 5 мл. №10, глюкоза р-н д/інф. 5% 200 мл, бетадине р-н 10% 100 мл)</t>
  </si>
  <si>
    <t>Код ДК 021:2015-33600000-6 Фармацевтична продукція (фуросемід р-н д/ін. 1% 2 мл №10, спирт етиловий р-н 96% 100 мл, спирт етиловий р-н 70% 100 мл, натрію хлорид-Дарниця р-н д/інф. 9мг/мл 100 мл, медопенем пор. 1г №1, медоклав пор. д/п ін. р-ну фл. 1,2 г №10, медаксон пор. 1г №10, дексаметазону фосфат р-н д/ін. 0,4% 1 мл №10, амоксил-К пор. д/п ін. р-ну 1,2 г №1, амоксиклав поп. д/п р-ну 1200 мг №5 )</t>
  </si>
  <si>
    <t>Код ДК 021:2015-33600000-6 Фармацевтична продукція (фуросемід р-н д/ін. 1% л мл №10, фармасулін Н р-н д/ін 100 МО/мл 10 мл №1, спирт етиловий р-н 96% 100 мл, спирт етиловий р-н 70% 100 мл, медоклав пор. д/п ін. р-ну фл. 1,2 г №10, медаксон пор. 1 г №10, магнію сульфат р-н д/ін. 25% 5 мл №10, кордарон р-н д/ін. 3 мл №6, кальцію глюконат р-н д/ін. 10% 5 мл №10, інфулган р-н д/інф. 1000 мг 100 мл, дексаметазону фосфат р-н д/ін. 0,4% 1 мл №10, гепарин р-н д/ін. 5000 ОД 5 мл №5, вомікайнд р-н для ін. 2 мг/мл 4 мл №4, вомікайнд р-н для ін. 2 мг/мл 2 мл №4, бліцеф пор. д/інф. 1г №10, амоксил-К пор. д/п ін. р-ну, адреналіну г/т 0,18% 1 мл №10)</t>
  </si>
  <si>
    <t>Код ДК 021:2015-33600000-6 Фармацевтична продукція (цефтріаксон-Дарниця пор. д/п ін. р-ну 1,0 г №1,цефтріаксон-Дарниця пор. д/п ін. р-ну 1,0 г №5)</t>
  </si>
  <si>
    <t>Код ДК 021:2015-33600000-6 Фармацевтична продукція (цефтріаксон-КСП пор. д/п ін. р-ну 1г №10, клексан р-н д/ін. 8000 МО шприц 0,8 мл №2, клексан р-н д/ін. 4000 МО шприц 0,4 мл №10, бліцеф пор. д/інф. 1г №10)</t>
  </si>
  <si>
    <t>Код ДК 021:2015-33600000-6 Фармацевтична продукція (європенем пор. д/п р-ну 1 г №10, екстенцеф пор. д/п р-ну 1000 мг фл. №1, бліцеф пор. д/внф. 1г №10)</t>
  </si>
  <si>
    <t>Код ДК 021:2015-33600000-6 Фармацевтична продукція (європенем пор. д/ін. 500 мг №10, еноксапарин р-н 0,4 №1, левопро р-н д/інф 500 мг 100 мл №1,левопро р-н д/інф 500 мг 150 мл №1, європенем пор д/п ін. р-ну 1г №10, екстенцеф пор. д/п ін. р-ну 1000 мг фл. №1 )</t>
  </si>
  <si>
    <t>Код ДК 021:2015-33600000-6 Фармацевтична продукція (інфулган розчин для інфузій 10 мг/мл по 100мл, лаксерс, порошок для розчину для ін'єкцій по 1000 мг/1000 мг по 1 фл. з порошком у пачці з картону, лінелід розчин для інф. 2 мг/мл по 300 мл контейнер полімерний, натрію хлорид розчин для інф. 9 мг/мл по 100 мл, сангера розчин для ін'єкцій 100 мг/мл по 10 мл амп. №5)</t>
  </si>
  <si>
    <t>Код ДК 021:2015-33600000-6 Фармацевтична продукція(цефтріаксон-Дарниця пор. д/п ін. р-ну 1 г №5, гепацеф Комбі пор. д/п ін. р-нк 2 г №1)</t>
  </si>
  <si>
    <t>Код ДК 021:2015-33630000-5 Лікарські засоби для лікування дерматологічних захворювань та захворювань опорно-рухового апарату (Код ДК 021:2015-33631600-8 - Антисептичні та дезінфекційні засоби (засіб дезінфекційний "КвікДес" (вологі серветки) 100шт з клапаном, засіб дезінфекційний "СефДез софт" К/5000 мл, засіб дезінфекційний "Квартацид хлор актив" 1 кг)</t>
  </si>
  <si>
    <t>Код ДК 021:2015-33630000-5 Лікарські засоби для лікування дерматологічних захворювань та захворювань опорно-рухового апарату (Код ДК 021:2015-33631600-8 - Антисептичні та дезінфекційні засоби (засіб дезінфекційний "СефДез хенд", 5л))</t>
  </si>
  <si>
    <t>Код ДК 021:2015-33690000-3 Лікарські засоби різні (IF1007  Експрес-тест PCT Fast Test Kit (Immunofluorescence Assay), 25 шт./уп. (НК 024:2019 - 54316 – Прокальцитонін IVD, реагент),  IF 1006 Експрес-тест D-Dimer  Fast Test Kit (Immunofluorescence Assay), 25шт/уп. (НК 024:2019 - 47343 D-димер IVD, набір, імунохроматографічний тест (ІХТ)), DIA-SARS-CoV-2-NP-IgМ  Тест-система імуноферментна (НК 024:2019 50293 — Коронавірус (SARS-CoV), антитіла класу імуноглобулін M (IgM) IVD), DIA-SARS-CoV-2-NP-IgG Тест-система імуноферментна  (НК 024:2019 -50288 Коронавірус (SARS-CoV), антитіла класу імуноглобулін G (IgG) IVD, набір, імуноферментний аналіз (ІФА)))</t>
  </si>
  <si>
    <t>Код ДК 021:2015-33690000-3 Лікарські засоби різні (Код НК 024-2019-47343- D-димер IVD, набір, імунохроматографічний тест (ІХТ), експрес-тест, Код НК-024-2019-54316-прокальцитонін IVD, реагент); код УКТЗЕД-3002, 3006, 3822 00 00 00-реагенти (набори реагентів) для визначення рівня прокальцитоніну, код УКТЗЕД-3002, 3006, 3822 00 00 00-реагенти (набори реагентів) для визначення рівня Д-димеру)</t>
  </si>
  <si>
    <t>Код ДК 021:2015-33690000-3 Лікарські засоби різні (Код НК024-2019-30576-Набір реагентів для визначення D-димерів, код УКТЗЕД-3002,3006,3822 00 00 00- Реагенти (набори реагентів) для визначення рівня Д-димеру, Код ДК 024-2019-54313-Прокальцитонін IVD, набір, імунофлюоресцентний аналіз, код УКТЗЕД-3002, 3006, 3822 00 00 00-Реагенти (набори реагентів) для визначення рівня протикальцитоніну)</t>
  </si>
  <si>
    <t>Код ДК 021:2015-33690000-3 Лікарські засоби різні (НК 024-2019:553705 – C-реактивний білок (СРБ) IVD, набір, нефелометричний/турбідимеуричний аналіз, код НК 024:2019 – 30216 – Багатокомпонентний калібратор клінічної хімії, Мультикалібратор.)</t>
  </si>
  <si>
    <t>Код ДК 021:2015-33690000-3 Лікарські засоби різні (диски-Офлоксацин,№100, диски-Цефтріаксон №100 30мкг, диски-Цефотаксим №100, 30мкг, диски-Ністатин №100, диски-Клотрімазол, диски-Нітрофурантоїн №100 300мкг, диски-Оптохін, диски-Бацитрацин, плазма кроляча цитратна суха, 10амп.*1мл, сорбіт харчовий, дульцит, чда, С-ще Селенітове Лейфсона, С-ще Тіогліколеве, С-ще Плоскірєва (Бактоагар), С-ще Лактобакагар, С-ще Біфідум (Блаурок), Ентеротест 24,Lachema, цоліклон (тест) анти-А, 100доз, цоліклон (тест) анти-В, 100доз, цоліклон (тест) анти-D супер, 100доз, стептолізин-О (АСЛО),  латекс-тест-200, с-ка С-реактивний білок (СРБ) латекс-тест-200, глюкоФАН, смужки №50,Lachema, набір глюкоза, пл. пробірка мікро Еппендорф 0,5мл, наконечник 2-200мкг, жовтий 1000 шт, наконечник 100-1000мкг, уп./500шт (сині), С-ще Менінгоагар 100гр)</t>
  </si>
  <si>
    <t>Код ДК 021:2015-33690000-3 Лікарські засоби різні (креатинін 60, голюкоза СР R1:1*500 мл)</t>
  </si>
  <si>
    <t>Код ДК 021:2015-33690000-3 Лікарські засоби різні (реагенти (набори реагентів) для визначення рівня Д-димеру (D-dimer))</t>
  </si>
  <si>
    <t>Код ДК 021:2015-33696000-5 Реактиви та контрастні речовини (Реагенти (набори реагентів) для визначення рівня прокальцитоніну, реагенти (набори реагентів) для визначення рівня Д-димеру, реагенти (набори реагентів) для визначення рівня Д-димеру (контроль), реагенти (набори реагентів) для визначення рівня прокальцитоніну (контроль))</t>
  </si>
  <si>
    <t>Код ДК 021:2015-33710000-0 Парфуми, засоби гігієни та презервативи (презервативи (Віва) №1 д/УЗД)</t>
  </si>
  <si>
    <t>Код ДК 021:2015-33710000-0 Парфуми, засоби гігієни та презервативи (рідке мило Маріо,1 л, мило господарське 72% Щедро 200г)</t>
  </si>
  <si>
    <t>Код ДК 021:2015-33740000-9 Засоби для догляду за руками та нігтями (бальзам для сухої шкіри "Сенсіва" 500 мл з дозатором)</t>
  </si>
  <si>
    <t>Код ДК 021:2015-33740000-9 Засоби для догляду за руками та нігтями (бальзам для сухої шкіри "Сенсіва" 500 мл, бальзам для сухої шкіри "Сенсіва" 500 мл з дозатором )</t>
  </si>
  <si>
    <t>Код ДК 021:2015-33740000-9 Засоби для догляду за руками та нігтями (дезінфікуючий засіб "Дезовір", каністра 5л)</t>
  </si>
  <si>
    <t>Код ДК 021:2015-33741300-9 Антисептичні засоби для рук (каністра 5л)</t>
  </si>
  <si>
    <t>Код ДК 021:2015-33750000-2 Засоби для догляду за малюками (пеленки гігієнічні поглинаючі 60 см*90 см №30, підгузники д/д Айді Сліп Плюс p XL)</t>
  </si>
  <si>
    <t>Код ДК 021:2015-33750000-2 Засоби для догляду за малюками (пелюшки д/немовлят Tena Bed Plus 60*90 см №30, пелюшки д/немовлят Tena Bed Plus 60*60 см №30 )</t>
  </si>
  <si>
    <t>Код ДК 021:2015-33760000-5 Туалетний папір, носові хустинки, рушники для рук і серветки (Рушник паперовий,Туалетний папір Софі про 130*12, Туалетний папір Кохавинка-Велікан 1 шт, Рушник Зетка 1 шт, Рушник паперовий)</t>
  </si>
  <si>
    <t>Код ДК 021:2015-33760000-5 Туалетний папір, носові хустинки, рушники для рук і серветки (папір туалетний, зетка біла, рушник зетка)</t>
  </si>
  <si>
    <t>Код ДК 021:2015-33760000-5 Туалетний папір, носові хустинки, рушники для рук і серветки (туалетний папір з гільзою на макулатурній основі Jambo "Клінідекс Мед")</t>
  </si>
  <si>
    <t>Код ДК 021:2015-33760000-5 Туалетний папір, носові хустинки, рушники для рук і серветки (туалетний папір, паперові рушники, зетка)</t>
  </si>
  <si>
    <t>Код ДК 021:2015-33972000-4 Мішки для моргів (мішки пластикові санітарні "МПС-200/5")</t>
  </si>
  <si>
    <t>Код ДК 021:2015-33972000-4 Мішки для моргів (мішок пластиковий санітарний "МПС-200/5" )</t>
  </si>
  <si>
    <t>Код ДК 021:2015-33972000-4 Мішки для моргів (мішок пластиковий санітарний "МПС-2005")</t>
  </si>
  <si>
    <t>Код ДК 021:2015-34320000-6 Механічні запасні частини, крім двигунів і частин двигунів (хрестовина 110*110*110*90)</t>
  </si>
  <si>
    <t>Код ДК 021:2015-34330000-9 Запасні частини до вантажних транспортних засобів, фургонів та легкових автомобілів</t>
  </si>
  <si>
    <t>Код ДК 021:2015-34330000-9 Запасні частини до вантажних транспортних засобів, фургонів та легкових автомобілів (фільтр масляний, фільтр повітряний, фільтр салону, диск гальмівний, колодки гальмівні, ремкомплект супорта)</t>
  </si>
  <si>
    <t>Код ДК 021:2015-34330000-9 Запасні частини до вантажних транспортних засобів, фургонів та легкових автомобілів (фільтри масляний, повітряний, салону, палива, втулки стабілізатора, рильовик шарніра зад)</t>
  </si>
  <si>
    <t>Код ДК 021:2015-34910000-9 Гужові чи ручні вози, інші транспортні засоби з немеханічним приводом, багажні вози та різні запасні частини (візок для перевезення біксів ТКСК)</t>
  </si>
  <si>
    <t>Код ДК 021:2015-34910000-9 Гужові чи ручні вози, інші транспортні засоби з немеханічним приводом, багажні вози та різні запасні частини (візок для перевезення біксів ТКСК)Код ДК 021:2015-34910000-9 Гужові чи ручні вози, інші транспортні засоби з немеханічним приводом, багажні вози та різні запасні частини (візок для перевезення біксів ТКСК)</t>
  </si>
  <si>
    <t>Код ДК 021:2015-34910000-9 Гужові чи ручні вози, інші транспортні засоби з немеханічним приводом, багажні вози та різні запасні частини (візок для прибирання, віджим, 2 відра по 18 л SPEC 36)</t>
  </si>
  <si>
    <t>Код ДК 021:2015-34910000-9 Гужові чи ручні вози, інші транспортні засоби з немеханічним приводом, багажні вози та різні запасні частини (візок для прибирання, віджим, 2 відра по 18л SPEC 36)</t>
  </si>
  <si>
    <t>Код ДК 021:2015-35110000-8 Протипожежне, рятувальне та захисне обладнання (вогнегасник ВП-5)</t>
  </si>
  <si>
    <t>Код ДК 021:2015-37820000-2 Приладдя для образотворчого мистецтва (Папір А4/80 пастель,зелений (100 арк.),папір А4/80 зелений паст.(100 арк.) SPECTRA COLOR)</t>
  </si>
  <si>
    <t>Код ДК 021:2015-37820000-2 Приладдя для образотворчого мистецтва (папір А40/80 зелений (100 арк.) Spectra color)</t>
  </si>
  <si>
    <t>Код ДК 021:2015-37820000-2 Приладдя для образотворчого мистецтва (папір А40/80 зелений (100 арк.))</t>
  </si>
  <si>
    <t>Код ДК 021:2015-37820000-2 Приладдя для образотворчого мистецтва (папір кольлоровий А4)</t>
  </si>
  <si>
    <t>Код ДК 021:2015-37820000-2 Приладдя для образотворчого мистецтва(Папір кольоровий  IQ Color A4 160 г/м2 250 аркушів)</t>
  </si>
  <si>
    <t>Код ДК 021:2015-38310000-1 Високоточні терези (вага електронна для зважування дітей)</t>
  </si>
  <si>
    <t>Код ДК 021:2015-38420000-5 Прилади для вимірювання витрати, рівня та тиску рідин і газів (вимірювач артеріального тиску з 3-ма манжетами)</t>
  </si>
  <si>
    <t>Код ДК 021:2015-38420000-5 Прилади для вимірювання витрати, рівня та тиску рідин і газів (ротаметр 25л/хв)</t>
  </si>
  <si>
    <t>Код ДК 021:2015-38430000-8 Детектори та аналізатори ((код НК 024:2019-30847- Аналізатор крові/рН/ електролітів/метаболітів), аналізатор газів крові та електролітів ST-200 CC ABEGEM, УКТЗЕД 9027- газоаналізатор крові з можливістю визначення електролітів, глюкози та лактату)</t>
  </si>
  <si>
    <t>Код ДК 021:2015-38630000-0 Астрономічні та оптичні прилади (лупа бінокулярна RD-81001-H)</t>
  </si>
  <si>
    <t>Код ДК 021:2015-39110000-6 Сидіння, стільці та супутні вироби і частини до них (крісло отоларингологічне КО-1)</t>
  </si>
  <si>
    <t>Код ДК 021:2015-39110000-6 Сидіння, стільці та супутні вироби і частини до них (крісло сорбційне ВР, стілець донорський СД-2)</t>
  </si>
  <si>
    <t>Код ДК 021:2015-39122200-5 Книжкові шафи (шафа-купе з антресоллю)</t>
  </si>
  <si>
    <t>Код ДК 021:2015-39130000-2 Офісні меблі (дивани)</t>
  </si>
  <si>
    <t>Код ДК 021:2015-39140000-5 Меблі для дому (пеленальний стіл, тумба пуф)</t>
  </si>
  <si>
    <t>Код ДК 021:2015-39140000-5 Меблі для дому (тумба приліжкова ДСП, стіл письмовий ДСП)</t>
  </si>
  <si>
    <t>Код ДК 021:2015-39150000-8 Меблі та приспособи різні (дивани для кімнат очікування)</t>
  </si>
  <si>
    <t>Код ДК 021:2015-39180000-7 Лабораторні меблі</t>
  </si>
  <si>
    <t>Код ДК 021:2015-39220000-0 Кухонне приладдя, товари для дому та господарства і приладдя для закладів громадського харчування (бочка харчова (40л, 50л, 60л))</t>
  </si>
  <si>
    <t>Код ДК 021:2015-39220000-0 Кухонне приладдя, товари для дому та господарства і приладдя для закладів громадського харчування (бідон, чайник 2л, набір кастрюль (2,3,4 л), кастрюля 4,5 л циліндрична, чайник емальований 3л, кастрюля 5,5 л поливана)</t>
  </si>
  <si>
    <t>Код ДК 021:2015-39220000-0 Кухонне приладдя, товари для дому та господарства і приладдя для закладів громадського харчування (віник)</t>
  </si>
  <si>
    <t>Код ДК 021:2015-39220000-0 Кухонне приладдя, товари для дому та господарства і приладдя для закладів громадського харчування (йоржики для унітазу Аква)</t>
  </si>
  <si>
    <t>Код ДК 021:2015-39220000-0 Кухонне приладдя, товари для дому та господарства і приладдя для закладів громадського харчування (пензель, валик, малярна стрічка)</t>
  </si>
  <si>
    <t>Код ДК 021:2015-39220000-0 Кухонне приладдя, товари для дому та господарства і приладдя для закладів громадського харчування (сковорода чугунна, відро з кришкою, відро емальоване 12 л, миска, таз круглий 6л, відро для міття з педаллю, відро господарське 12л, сушка для посуду)</t>
  </si>
  <si>
    <t>Код ДК 021:2015-39220000-0 Кухонне приладдя, товари для дому та господарства і приладдя для закладів громадського харчування (тарілка обідня Зелі 4119, тарілка глибока Зелі 20 см)</t>
  </si>
  <si>
    <t>Код ДК 021:2015-39220000-0 Кухонне приладдя, товари для дому та господарства і приладдя для закладів громадського харчування (тримач мопа 40 см, ручка алюмінієва 140 см, моп із мікрофібри FLAP&amp;POC KET 40 см)</t>
  </si>
  <si>
    <t>Код ДК 021:2015-39220000-0 Кухонне приладдя, товари для дому та господарства і приладдя для закладів громадського харчування (тримач мопа 40 см, ручка алюмінієва 140см, моп із мікрофібри FLAP&amp;POC KET40 см)</t>
  </si>
  <si>
    <t>Код ДК 021:2015-39220000-0 Кухонне приладдя, товари для дому та господарства і приладдя для закладів громадського харчування (шкребок кухонний, щітка, відро з кришкою, швабра телескопічна, набір для прибирання, запаска на швабру, щітка для підмітання, відро для сміття, скребок стальний, таз, сушка для посуду)</t>
  </si>
  <si>
    <t>Код ДК 021:2015-39240000-6 Різальні інструменти (леза змінні)</t>
  </si>
  <si>
    <t>Код ДК 021:2015-39240000-6 Різальні інструменти (ніж кухонний)</t>
  </si>
  <si>
    <t>Код ДК 021:2015-39290000-1 Фурнітура різна (фасадна вивіска (500*350), табличка на кабінет, інформаційна таблиця (знак доступності), наліпка на перила)</t>
  </si>
  <si>
    <t>Код ДК 021:2015-39310000-8 Обладнання для закладів громадського харчування (душуючий пристрій  Frosty R01.02.12)</t>
  </si>
  <si>
    <t>Код ДК 021:2015-39310000-8 Обладнання для закладів громадського харчування (стіл з мийкою)</t>
  </si>
  <si>
    <t>Код ДК 021:2015-39330000-4 Дезінфекційне обладнання (диспенсер ліктьовий  Dr. ARMMAX білий)</t>
  </si>
  <si>
    <t>Код ДК 021:2015-39330000-4 Дезінфекційне обладнання (диспенсер ліктьовий Dr. ARMMAX, білий, сірий )</t>
  </si>
  <si>
    <t>Код ДК 021:2015-39330000-4 Дезінфекційне обладнання (дозатор автоматичний для дезінфікуючого засобу F1409-S)</t>
  </si>
  <si>
    <t>Код ДК 021:2015-39330000-4 Дезінфекційне обладнання (камера дезінфекційна типу КДЕ (2м куб.) з шафою управління в зборі)</t>
  </si>
  <si>
    <t>Код ДК 021:2015-39330000-4 Дезінфекційне обладнання (мобільна стійка кріплення дозатора антисептика для рук, дозатор автоматичний для дезінфікуючого засобу F 1409-S, піддон для крапель для дозатора (drip tray))</t>
  </si>
  <si>
    <t>Код ДК 021:2015-39330000-4 Дезінфекційне обладнання (прилад бактерицидної дії УФИД-СМ)</t>
  </si>
  <si>
    <t>Код ДК 021:2015-39340000-7 Обладнання для газових мереж (підігрівач вуглекислотного газу ПЕ-01)</t>
  </si>
  <si>
    <t>Код ДК 021:2015-39340000-7 Обладнання для газових мереж (редуктор кисневий БКО-50-4ДМ, редуктор кисневий БКО-50-4-2ДМ )</t>
  </si>
  <si>
    <t>Код ДК 021:2015-39350000-0 Каналізаційне обладнання (гофра для унітазу, водяний кран, шлагн до води)</t>
  </si>
  <si>
    <t>Код ДК 021:2015-39510000-0 Вироби домашнього текстилю (жалюзі вертикальні тканинні)</t>
  </si>
  <si>
    <t>Код ДК 021:2015-39510000-0 Вироби домашнього текстилю (жалюзі вертикальні)</t>
  </si>
  <si>
    <t>Код ДК 021:2015-39514400-2 Диспенсери для рушників (Диспенсер для паперових рушників економ на 200 арк. білий)</t>
  </si>
  <si>
    <t>Код ДК 021:2015-39540000-9 Вироби різні з канату, мотузки, шпагату та сітки (шпагат поліпропіленовий 250 м)</t>
  </si>
  <si>
    <t>Код ДК 021:2015-39710000-2 Електричні побутові прилади (вентилятор)</t>
  </si>
  <si>
    <t>Код ДК 021:2015-39710000-2 Електричні побутові прилади (електрочайник 1,8 л 2000 Вт, праска, керамічна підошва 2600 Вт)</t>
  </si>
  <si>
    <t>Код ДК 021:2015-39710000-2 Електричні побутові прилади (мікрохвильова піч GRUNHELM 20MX, електрочайник GRUNHELM EKS-2018 1,8л, водонагрівач Round 50л )</t>
  </si>
  <si>
    <t>Код ДК 021:2015-39710000-2 Електричні побутові прилади (праска Grunhelm Е18890С 2200Вт, керамічна підошва)</t>
  </si>
  <si>
    <t>Код ДК 021:2015-39710000-2 Електричні побутові прилади (тепловентилятор 2000 Вт, електричний водонагрівач(50л, 80л, 100л), праска 2200 Вт, електрочайник 1,8л )</t>
  </si>
  <si>
    <t>Код ДК 021:2015-39710000-2 Електричні побутові прилади (тепловентилятор 2000Вт Bt Asti, Midas, водонагрівач Round 50л, фен GLT-21)</t>
  </si>
  <si>
    <t>Код ДК 021:2015-39710000-2 Електричні побутові прилади (тепловентилятор підлоговий)</t>
  </si>
  <si>
    <t>Код ДК 021:2015-39710000-2 Електричні побутові прилади (холодильник GRW-185 DD (білий) двокамерний, праска Grunhelm EI8892C 2500 Вт, керамічна підошва)</t>
  </si>
  <si>
    <t>Код ДК 021:2015-39710000-2 Електричні побутові прилади (чайник електричний Маестро 046)</t>
  </si>
  <si>
    <t>Код ДК 021:2015-39810000-3 Ароматизатори та воски (освіжувач повітря фреш)</t>
  </si>
  <si>
    <t xml:space="preserve">Код ДК 021:2015-39810000-3 Ароматизатори та воски (освіжувач повітря фреш)
</t>
  </si>
  <si>
    <t>Код ДК 021:2015-39810000-3 Ароматизатори та воски (освіжувач повітря)</t>
  </si>
  <si>
    <t>Код ДК 021:2015-39830000-9 Продукція для чищення (мило, порошок, засіб для скла, білизна, Доместос)</t>
  </si>
  <si>
    <t>Код ДК 021:2015-39830000-9 Продукція для чищення (моп із мікрофібри FLAP&amp;POC KET 40 см)</t>
  </si>
  <si>
    <t>Код ДК 021:2015-39830000-9 Продукція для чищення (порошок для прання  (Каді, 10кг, Макс 400г, Тайд автомат, 5,4 кг, Аріель Колор автома.т 3 кг, Ехо Савекс для ручного прання. 400 г, Аріель автомат, 6кг ))</t>
  </si>
  <si>
    <t>Код ДК 021:2015-39830000-9 Продукція для чищення (рідина для миття посуду Фейрі Експерт, 1л)</t>
  </si>
  <si>
    <t>Код ДК 021:2015-39830000-9 Продукція для чищення (сода кальцинована,700г, гель турбо 500, саво 1,2 для чищення труб, чистячий порошок Сарма 400г, білизна Онікс 950г, Сіф крем 500мл, порошок для чищення Гала ОV, засіб для миття скла Пуся, розпилювач 0,5л+запаска, засіб для чищення труб Крот 200г, доместос 1л, доместос 500 мл, крем Сіф 250г, засіб для прочистки труб Чистюля 1л, гранули для чистки труб Делюкс)</t>
  </si>
  <si>
    <t>Код ДК 021:2015-42130000-9 Арматура трубопровідна: крани, вентилі, клапани та подібні пристрої (SD кран шаровий газ 1/2 ВВ5840, SD кран шаровий газ 1/2 з.в. вода, кран водяний RS B3 1/2 (червоний метелик) нікелірований, кран американка 3/4, кран 1/2 поливочний, шпилька двохвинтова М 10*140, шпилька стальна з різьбою М*12*1000см)</t>
  </si>
  <si>
    <t>Код ДК 021:2015-42130000-9 Арматура трубопровідна: крани, вентилі, клапани та подібні пристрої (водяний кран)</t>
  </si>
  <si>
    <t>Код ДК 021:2015-42130000-9 Арматура трубопровідна: крани, вентилі, клапани та подібні пристрої (латунний перехідник 1/2з*3/4 (лійка висока), американка 1/2 пряма латунь нікель)</t>
  </si>
  <si>
    <t>Код ДК 021:2015-42130000-9 Арматура трубопровідна: крани, вентилі, клапани та подібні пристрої (шаровий кран 1 1/2, шпилька двохгвинтова М8*80, кран шаровий 1/2 з/в,кран 1/2 поливочний)</t>
  </si>
  <si>
    <t>Код ДК 021:2015-42130000-9 Арматура трубопровідна: крани, вентилі, клапани та подібні пристрої (шпилька стальна з різьбою М*12*1000 см, шпилька двохгвинтова М8*80)</t>
  </si>
  <si>
    <t>Код ДК 021:2015-42131000-6 Крани, вентилі та клапани (вентиль кисневий під трубку Ф8Х1 (вхід зверху, вихід наліво М16Х1,5))</t>
  </si>
  <si>
    <t>Код ДК 021:2015-42131000-6 Крани, вентилі та клапани (вентиль кисневий, вхід знизу М14Х1, вихід наліво G1/4. На вході ніпель та гайка під трубку Ф8Х1)</t>
  </si>
  <si>
    <t>Код ДК 021:2015-42520000-7 Вентиляційне обладнання (вентиляційна решітка DOSPELD/195W 194-194, гратка вентиляційна ДВ 300*205 с. М. прямокутна 300*205*11 мм)</t>
  </si>
  <si>
    <t>Код ДК 021:2015-42670000-3 Частини та приладдя до верстатів (диск до циркуляційної плити 125*24Т*22,2Н, СТ-3013)</t>
  </si>
  <si>
    <t>Код ДК 021:2015-42910000-8 Апарати для дистилювання, фільтрування чи ректифікації (аквадистилятор Д-20)</t>
  </si>
  <si>
    <t>Код ДК 021:2015-42960000-3 Системи керування та контролю, друкарське і графічне обладнання та обладнання для автоматизації офісу й обробки інформації (42968300-2 Диспенсери туалетного паперу (Диспансер туалетного паперу Джамбо білий СТАНДАРТ)</t>
  </si>
  <si>
    <t>Код ДК 021:2015-43810000-4 Деревообробне обладнання (бензопила Sparta метал 45 шина 4,0 к.с. 52 сс)</t>
  </si>
  <si>
    <t>Код ДК 021:2015-43830000-0 Електричні інструменти (дрель електрична ДЄУ 1100)</t>
  </si>
  <si>
    <t>Код ДК 021:2015-43830000-0 Електричні інструменти (дриль ударна 1300Вт)</t>
  </si>
  <si>
    <t>Код ДК 021:2015-43830000-0 Електричні інструменти (кутова шліфмашинка 125 мм 1170Вт)</t>
  </si>
  <si>
    <t>Код ДК 021:2015-44110000-4 Конструкційні матеріали</t>
  </si>
  <si>
    <t>Код ДК 021:2015-44110000-4 Конструкційні матеріали (кутник перфорований 2,5м 39мм, сітка  серпянка 50*1530м, клинки дистанційні 23*4 мм, уп. 100 шт, клинки дистанційні 37*7 мм, уп. 50 шт, плінтус , кут зовнішній ,  кут внутрішній , закінчення ліве, закінчення праве, з'єднувач, лиштва (1-шт 2,25мм))</t>
  </si>
  <si>
    <t>Код ДК 021:2015-44110000-4 Конструкційні матеріали (кутник перфорований 2,5м 39мм, сітка  серпянка 50*1530м, клинки дистанційні 23*4 мм, уп. 100 шт, клинки дистанційні 37*7 мм, уп. 50 шт, плінтус , кут зовнішній, кут внутрішній , закінчення ліве, закінчення праве, з'єднувач, лиштва (1-шт 2,25мм))</t>
  </si>
  <si>
    <t>Код ДК 021:2015-44110000-4 Конструкційні матеріали (кутник пластмасовий 3м, пінопласт 5 (1*2), вагонка біла (6м*0,25), закінчення до вагонки 3м, плінтус стельовий 2м, кут зовнішній та внутрішній, з'єднання, закінчення, стикова планка (1,35м),  решітка вентиляційна 15*20); лінолеум (Бельгія)</t>
  </si>
  <si>
    <t>Код ДК 021:2015-44110000-4 Конструкційні матеріали (кутник пластмасовий 3м, пінопласт 5 (1*2), вагонка біла (6м*0,25), закінчення до вагонки 3м, плінтус стельовий 2м, кут зовнішній та внутрішній, з'єднання, закінчення, стикова планка (1,35м), лінолеум (Бельгія), решітка вентиляційна 15*20)</t>
  </si>
  <si>
    <t>Код ДК 021:2015-44110000-4 Конструкційні матеріали (лінолеум 3 м, лінолеум 3,5 м)</t>
  </si>
  <si>
    <t>Код ДК 021:2015-44110000-4 Конструкційні матеріали (плінтус стельовий, закінчення, з'єднання до плінтуса, кут зовнішній та внутрішній, решітка вентиляційна, багет стельовий)</t>
  </si>
  <si>
    <t>Код ДК 021:2015-44112230-9 Лінолеум</t>
  </si>
  <si>
    <t xml:space="preserve">Код ДК 021:2015-44112230-9 Лінолеум </t>
  </si>
  <si>
    <t>Код ДК 021:2015-44160000-9 Магістралі, трубопроводи, труби, обсадні труби, тюбінги та супутні вироби (еко труба, еко коліно, гофра, шланг, еко трійник)</t>
  </si>
  <si>
    <t>Код ДК 021:2015-44160000-9 Магістралі, трубопроводи, труби, обсадні труби, тюбінги та супутні вироби (еко труба, еко коліно, штуцер, трубка масло-бензостійка,трійник, кран шаровий)</t>
  </si>
  <si>
    <t>Код ДК 021:2015-44160000-9 Магістралі, трубопроводи, труби, обсадні труби, тюбінги та супутні вироби (трубка 10*1,5мм, шланг до води 1,50 м п/м, 0,5м, 1,00м, 1,2м, лат ніпель 1/2 (15) усилений, муфта 16*16, муфта 16*1/20р. внутрішня, еко труба 20 2,3 мм, еко коліно 20-20 під 45* ППР, еко трійник, кран шаровий, редукція резинова 10*124, труба , христовина)</t>
  </si>
  <si>
    <t>Код ДК 021:2015-44160000-9 Магістралі, трубопроводи, труби, обсадні труби, тюбінги та супутні вироби (трубка з'єднувальна 3/4)</t>
  </si>
  <si>
    <t>Код ДК 021:2015-44160000-9 Магістралі, трубопроводи, труби, обсадні труби, тюбінги та супутні вироби (уко кріплення труби 20 одинарне, еко муфта 20-1/2 р. зов. ППР МР3, корок заглушка 50, вантуз великий, трійник 50/50/90, труба 50/1,8-1000мм, лат. трійник 1/2 в-1/2в-1/2з, гайка до цифр насосу з краном АРС 1-1/2-1, муфта 16*1/2р. внутрішня, трійник розбірний16-16-16, латунь трійник 1/2 в 1/2з-1/2в, латунь заглушка 1/2 р.в., гофра (не горюча) Д-20 (100м/рул)1м/п)</t>
  </si>
  <si>
    <t>Код ДК 021:2015-44160000-9 Магістралі, трубопроводи, труби, обсадні труби, тюбінги та супутні вироби (шланг до води, латунний перехідник , еко коліно 25*25, еко муфта 25*3/4, еко труба 25 звичайна, еко трійник 25-25-25 ППР,  сгон сталевий 40, сгон американка 1 1/2, стальний напівзгин,мцфта з'єднувальна, ревізія 110, коліно 110*90)</t>
  </si>
  <si>
    <t>Код ДК 021:2015-44170000-2 Плити, листи, стрічки та фольга, пов’язані з конструкційними матеріалами (гіпсокартон Т.135, підвіс до гіпсокартону)</t>
  </si>
  <si>
    <t>Код ДК 021:2015-44170000-2 Плити, листи, стрічки та фольга, пов’язані з конструкційними матеріалами (плита OSB 2500*1250-100 мм, гіпсокартон 9,5*1200*2500)</t>
  </si>
  <si>
    <t>Код ДК 021:2015-44170000-2 Плити, листи, стрічки та фольга, пов’язані з конструкційними матеріалами (профнастил оцинкований 0,04 мм (м.п))</t>
  </si>
  <si>
    <t>Код ДК 021:2015-44170000-2 Плити, листи, стрічки та фольга, пов’язані з конструкційними матеріалами (самоклеюча плівка (034 полоски 1000*40мм))</t>
  </si>
  <si>
    <t>Код ДК 021:2015-44170000-2 Плити, листи, стрічки та фольга, пов’язані з конструкційними матеріалами (стрічка тефлонова)</t>
  </si>
  <si>
    <t>Код ДК 021:2015-44170000-2 Плити, листи, стрічки та фольга, пов’язані з конструкційними матеріалами (сітка скловолокниста)</t>
  </si>
  <si>
    <t>Код ДК 021:2015-44170000-2 Плити, листи, стрічки та фольга, пов’язані з конструкційними матеріалами (фольга)</t>
  </si>
  <si>
    <t>Код ДК 021:2015-44190000-8 Конструкційні матеріали різні (Підложка під ламінат "D'FLOOR" 1000*500*3мм (уп.5 кв.м), покриття для підлоги ПВХ Квебек 1/3,5м Favorit, покриття для підлоги ПВХ Квебек 1/4 Favorit )</t>
  </si>
  <si>
    <t>Код ДК 021:2015-44220000-8 Столярні вироби (підвіконня)</t>
  </si>
  <si>
    <t>Код ДК 021:2015-44310000-6 Вироби з дроту (зварювальні електроди 3 мм уп. 2,5 кг)</t>
  </si>
  <si>
    <t>Код ДК 021:2015-44310000-6 Вироби з дроту (провід ПВС (2*2,5))</t>
  </si>
  <si>
    <t>Код ДК 021:2015-44310000-6 Вироби з дроту (трос для прочищення каналізації 10м, трос для прочищення каналізації 20м )</t>
  </si>
  <si>
    <t>Код ДК 021:2015-44310000-6 Вироби з дроту (трос для прочищення каналізації 6 м, зварювальні електроди 3 мм)</t>
  </si>
  <si>
    <t>Код ДК 021:2015-44320000-9 Кабелі та супутня продукція (провід 3*35, провід 2*35)</t>
  </si>
  <si>
    <t>Код ДК 021:2015-44320000-9 Кабелі та супутня продукція (провід ШВВП 2*2,5 ГОСТ, кабельний канал 15*10 м/п, 16*169 м/п, ШВВП 3*2,5 ГОСТ, провід ПВС 2*2,5 гост)</t>
  </si>
  <si>
    <t>Код ДК 021:2015-44320000-9 Кабелі та супутня продукція (провід ефект 2*1,5 )</t>
  </si>
  <si>
    <t>Код ДК 021:2015-44330000-2 Будівельні прути, стрижні, дроти та профілі (профіль UD 3м, профіль CD, 3м)</t>
  </si>
  <si>
    <t>Код ДК 021:2015-44410000-7 Вироби для ванної кімнати та кухні (Умивальник Президент 55 з/о, ЧВ-сифон для умивальника WATER HAUSE, пластмасовий випуск, гнучка труба 40*50)</t>
  </si>
  <si>
    <t>Код ДК 021:2015-44410000-7 Вироби для ванної кімнати та кухні (змішувач для ванни Т61-DFR7-A722, душова кабіна 80*80, умивальник 60 см, бачок пластиковий середньозміщений, унітаз Вектор під пластиковий бачок, гофра для унітазу, манжет резиновий для бачка унітазу)</t>
  </si>
  <si>
    <t>Код ДК 021:2015-44410000-7 Вироби для ванної кімнати та кухні (змішувач кульовий ніс 15 см на гайці, гофра для унітазу, змішувач, арматура для бачка спускна, змішувач для умивальника, унітаз компакт з сидінням, кріплення умивальника до стінки, кріплення унітазу до підлоги, сифон універсальний з гофрою, бачок пластиковий середньозміщений , умивальник )</t>
  </si>
  <si>
    <t>Код ДК 021:2015-44410000-7 Вироби для ванної кімнати та кухні (комплект унітазу, лійка душа, сифон для піддону, змішувач шаровий)</t>
  </si>
  <si>
    <t>Код ДК 021:2015-44410000-7 Вироби для ванної кімнати та кухні (мийка врізна з нержавіючої сталі  780*480*180 одинарна 0,8 мм, мийка врізна з нержавіючої сталі 770*500*180 овал 0,6 мм, змішувач QT Eria Bla 002 кухня)</t>
  </si>
  <si>
    <t>Код ДК 021:2015-44420000-0 Будівельні товари (піна монтажна)</t>
  </si>
  <si>
    <t>Код ДК 021:2015-44420000-0 Будівельні товари (стемянка 3-ри сходинки, піна монтажна ХL 706Р профі 750 мл 55 л)</t>
  </si>
  <si>
    <t>Код ДК 021:2015-44420000-0 Будівельні товари (стремянка 3-ри сходинки)</t>
  </si>
  <si>
    <t xml:space="preserve">Код ДК 021:2015-44510000-8 Знаряддя </t>
  </si>
  <si>
    <t>Код ДК 021:2015-44510000-8 Знаряддя (викрутка, біта, бур по бетону 14*600 мм, пензлик 2 тип, 4 тип.)</t>
  </si>
  <si>
    <t>Код ДК 021:2015-44510000-8 Знаряддя (викрутка, ножовочне полотно, біта)</t>
  </si>
  <si>
    <t>Код ДК 021:2015-44510000-8 Знаряддя (держак до лопат, лопата американка, секатор садовий)</t>
  </si>
  <si>
    <t>Код ДК 021:2015-44510000-8 Знаряддя (ключ трубний КТР-1СИБ, викрутка 5,0*150мм, викрутка 3*150мм, викрутка реверсивнв з шарніром+біта9головки, шпатель нержавіючий 200 мм, шпатель нержавіючий 250 мм, пензлик (3 тип, 1,5тип, 2тип), леза змінні 18 мм)</t>
  </si>
  <si>
    <t>Код ДК 021:2015-44510000-8 Знаряддя (сокира, сверло по металу, тенка поліуританова, ключ розвідний, набір ключів імбусових)</t>
  </si>
  <si>
    <t>Код ДК 021:2015-44510000-8 Знаряддя (сокира-колун з клином 2000г МТХ, набір ключів Тогх 9 шт подовжені, набір ключів комбінованих 6-17 мм, ключ ріжково-накидний 17 мм, 19мм, сверло по металу 3,1мм, 4,0 мм)</t>
  </si>
  <si>
    <t>Код ДК 021:2015-44520000-1 Замки, ключі та петлі (замок врізний)</t>
  </si>
  <si>
    <t>Код ДК 021:2015-44520000-1 Замки, ключі та петлі (замок дверний, серцевина, дверний упор)</t>
  </si>
  <si>
    <t>Код ДК 021:2015-44520000-1 Замки, ключі та петлі (замок навісний  екстра 50 мм, 40мм)</t>
  </si>
  <si>
    <t>Код ДК 021:2015-44520000-1 Замки, ключі та петлі (замок навісний екстра aptos 40 mm. 50 mm, замок навісний Gussami)</t>
  </si>
  <si>
    <t>Код ДК 021:2015-44520000-1 Замки, ключі та петлі (замок навісний)</t>
  </si>
  <si>
    <t>Код ДК 021:2015-44520000-1 Замки, ключі та петлі (замок навісний, серцевина дверна, серцевина імперіал 70 мм 35/35 С-РВ к-к-лазар 5 кл. золото)</t>
  </si>
  <si>
    <t>Код ДК 021:2015-44520000-1 Замки, ключі та петлі (замок навісний, серцевина, замок дверний)</t>
  </si>
  <si>
    <t>Код ДК 021:2015-44520000-1 Замки, ключі та петлі (серцевина 90 45*45-С-СР)</t>
  </si>
  <si>
    <t>Код ДК 021:2015-44530000-4 Кріпильні деталі</t>
  </si>
  <si>
    <t>Код ДК 021:2015-44530000-4 Кріпильні деталі (дюбель потрійного розпору (14*100, 10*50), шуруп для лаг 10*140, гак прямий 6*80, дюбель з гаком прямий РХ-06 60, дюбель розпірний б/ком з удар. шур 8,0*80, гайка М6, М5, шайба збільшена д 6*19 б/ц, хомут 50, кріплення труби 16 одинарне)</t>
  </si>
  <si>
    <t>Код ДК 021:2015-44530000-4 Кріпильні деталі (дюбель потрійного розпору 10*60, дюбель розпірний з/ком з удар шур 6*40, дюбель 12/8*60 мм, шуруп для лаг 6*60)</t>
  </si>
  <si>
    <t>Код ДК 021:2015-44530000-4 Кріпильні деталі (дюбель розпірний 8,0*60, дюбель потрійного розпору (12*80, 14*100), хомут гайка Ф040 для труби 1 1/2 М8 (47*52 мм), гак прямий 12(8*80), саморіз по дереву (4,2*64, 3,5*41, 3,5*51, 4,2*76),шуруп для лаг 10*140, саморіз оцинкований 4,8*35, дюбель розпірний б/ком з удар. шур. 6,0*40 )</t>
  </si>
  <si>
    <t>Код ДК 021:2015-44530000-4 Кріпильні деталі (дюбель розпірний)</t>
  </si>
  <si>
    <t>Код ДК 021:2015-44530000-4 Кріпильні деталі (дюбель, саморіз)</t>
  </si>
  <si>
    <t>Код ДК 021:2015-44530000-4 Кріпильні деталі (саморіз 3,5*25; 3,5*45 по дереву, дюбель  потрійного розпору 14*100, хомут гайка Ф020 для труби 3/4 М8 (26-30мм), дюбель розпірний б/ком з удар шур. 6*40, саморіз по дереву 3,5*35 по дереву, гайка М12, шайба збільшена М12*38)</t>
  </si>
  <si>
    <t>Код ДК 021:2015-44540000-7 Ланцюги (ланц на 31 зуб 64 ланки)</t>
  </si>
  <si>
    <t>Код ДК 021:2015-44610000-9 Цистерни, резервуари, контейнери та посудини високого тиску (балон газовий 220г)</t>
  </si>
  <si>
    <t>Код ДК 021:2015-44610000-9 Цистерни, резервуари, контейнери та посудини високого тиску (балон кисневий на 10 л)</t>
  </si>
  <si>
    <t>Код ДК 021:2015-44610000-9 Цистерни, резервуари, контейнери та посудини високого тиску (бідон, бочка)</t>
  </si>
  <si>
    <t xml:space="preserve">Код ДК 021:2015-44612100-4 Балони для газу </t>
  </si>
  <si>
    <t>Код ДК 021:2015-44810000-1 Фарби</t>
  </si>
  <si>
    <t xml:space="preserve">Код ДК 021:2015-44810000-1 Фарби </t>
  </si>
  <si>
    <t xml:space="preserve">Код ДК 021:2015-44810000-1 Фарби (Еко-снєка (ПНР),20 кг, Еко-снєка (ПНР), 14кг, колорекс (барвник), емаль біла 0,9 кг, емаль жовта 0,9 кг)   </t>
  </si>
  <si>
    <t>Код ДК 021:2015-44810000-1 Фарби (емаль "Delfi" ПФ-115 чорна 0,9кг, емаль універсальна RAL 8017, емаль універсальна RAL 3002, емаль універсальна RAL 9005, емаль ПФ-115П чорна 0,9 кг)</t>
  </si>
  <si>
    <t>Код ДК 021:2015-44810000-1 Фарби (емаль ПФ-115П 0,9 кг (біла глянець, блакитна, морська хвиля, золотисто-коричнева), емаль алкідна ПФ-115 П бежева 0,9 кг, емаль ПФ-115П 2,8 кг (біла глянець, золотисто-коричнева))</t>
  </si>
  <si>
    <t>Код ДК 021:2015-44810000-1 Фарби (емаль універсальна RAL9006, емаль ПФ-115П біла глянець 0,9кг, емаль універсальна RAL 1023)</t>
  </si>
  <si>
    <t>Код ДК 021:2015-44810000-1 Фарби (фарба водоемульсійна 14кг, емаль блакитна 2,7кг, емаль блакитна 0,9кг, емаль біла 2,7кг, барвники)</t>
  </si>
  <si>
    <t>Код ДК 021:2015-44810000-1 Фарби (фарба інтер'єрна ВДА біла матова UltraDekArt, 20 кг, барвник "Колібрі" хакі, емаль ПФ-115П бежева 2,8 кг)</t>
  </si>
  <si>
    <t>Код ДК 021:2015-44830000-7 Мастики, шпаклівки, замазки та розчинники</t>
  </si>
  <si>
    <t>Код ДК 021:2015-44830000-7 Мастики, шпаклівки, замазки та розчинники (акрил-путц 20 кг, НР старт "Krauf" 30 кг, розчинник 647 0,62 кг 15 шт/уп, грунт GS-15 (5л))</t>
  </si>
  <si>
    <t>Код ДК 021:2015-44830000-7 Мастики, шпаклівки, замазки та розчинники (акрил-руст 20кг, штукаткрка ПСМ-25 Generous, уайт-спіріт 0,5л, грунтовка мастер внутрішня 10л)</t>
  </si>
  <si>
    <t>Код ДК 021:2015-44830000-7 Мастики, шпаклівки, замазки та розчинники (грунтовка "Церезіт", 5кг, грунтовка маскувальна, 15кг, грунтовка універсальна, 10л, шпаклівка Акрил-путц, 20кг, шпаклівка Альба-стартова, 30кг, шпаклівка Кнауф-старт. 30кг,  шпаклівка Кнауф-фініш,25 кг)</t>
  </si>
  <si>
    <t>Код ДК 021:2015-44830000-7 Мастики, шпаклівки, замазки та розчинники (грунтовка, герметик, піна)</t>
  </si>
  <si>
    <t>Код ДК 021:2015-44830000-7 Мастики, шпаклівки, замазки та розчинники (уніпак мал. 65 гр)</t>
  </si>
  <si>
    <t>Код ДК 021:2015-44830000-7 Мастики, шпаклівки, замазки та розчинники (шпаклівка, грунтовка розчинник, змивка фарби)</t>
  </si>
  <si>
    <t>Код ДК 021:2015-44920000-5 Вапняк, гіпс і крейда (вапно, 5 кг)</t>
  </si>
  <si>
    <t>Код ДК 021:2015-44920000-5 Вапняк, гіпс і крейда (крейда 5 кг, вапно гашене 10 кг)</t>
  </si>
  <si>
    <t>Код ДК 021:2015-44920000-5 Вапняк, гіпс і крейда (крумікс Г-5 гіпс будівельний 5 кг)</t>
  </si>
  <si>
    <t>Код ДК 021:2015-45450000-6 Інші завершальні будівельні роботи (Капітальний ремонт безперебійного електропостачання КНП "Стебницька міська лікарня" ДМР за адресою: вул. Січових Стрільців,2, м. Стебник, Львівська обл.)</t>
  </si>
  <si>
    <t>Код ДК 021:2015-45450000-6 Інші завершальні будівельні роботи (Капітальний ремонт лабораторії поліклінічного відділення КНП "Стебницька міська лікарня" ДМР за адресою: вул. Січових Стрільців,2, м. Стебник, Львівська обл.)</t>
  </si>
  <si>
    <t>Код ДК 021:2015-45450000-6 Інші завершальні будівельні роботи (Капітальний ремонт приміщення рентгенкабінету поліклінічного відділення КНП "Стебницька міська лікарня" ДМР за адресою: вул. Січових Стрільців,2, м. Стебник, Львівська обл.)</t>
  </si>
  <si>
    <t>Код ДК 021:2015-45450000-6 Інші завершальні будівельні роботи (Капітальний ремонт приміщення інфекційного відділення КНП "Стебницька міська лікарня" ДМР за адресою: вул. Січових Стрільців,2, м. Стебник, Львівська обл.)</t>
  </si>
  <si>
    <t xml:space="preserve">Код ДК 021:2015-45450000-6 Інші завершальні будівельні роботи (Технічне переоснащення системи киснепостачання терапевтичного відділення у КНП»Стебницька міська лікарня» ДМР за адресою: вул. Січових Стрільців,2, м.Стебник, Львівська обл.) </t>
  </si>
  <si>
    <t xml:space="preserve">Код ДК 021:2015-45450000-6 Інші завершальні будівельні роботи (Технічне переоснащення системи киснепостачання інфекційного відділення у КНП»Стебницька міська лікарня» ДМР за адресою: вул. Січових Стрільців,2, м.Стебник, Львівська обл.) </t>
  </si>
  <si>
    <t>Код ДК 021:2015-48310000-4 Пакети програмного забезпечення для створення документів (постачання та впровадження системи електронного документообігу (програмне забезпечення для опрацювання файлів у форматі PDF Edit))</t>
  </si>
  <si>
    <t>Код ДК 021:2015-48310000-4 Пакети програмного забезпечення для створення документів (постачання та впровадження системи електронного документообігу (програмне забезпечення для оприцювання файлів у форматі PDF Edit))</t>
  </si>
  <si>
    <t>Код ДК 021:2015-48463000-1 Пакети статистичного програмного забезпечення (ліцензія на активування доступу до модулю "Функціонал для закладів спеціалізованої медичної допомоги-ЕМЗ та ЕН для неідентифікованих пацієнтів до 31.12.2021р. ")</t>
  </si>
  <si>
    <t>Код ДК 021:2015-50110000-9 Послуги з ремонту і технічного обслуговування мототранспортних засобів і супутнього обладнання (поточне обслуговування  автомобіля Renault Logan)</t>
  </si>
  <si>
    <t>Код ДК 021:2015-50112000-3 Послуги з ремонту і технічного обслуговування автомобілів (технічне обслуговування автомобіля Renault Logan  №ВС1272ІА)</t>
  </si>
  <si>
    <t>Код ДК 021:2015-50112000-3 Послуги з ремонту і технічного обслуговування автомобілів (технічне обслуговування автомобіля Renault Logan  №ВС1272ІА)1</t>
  </si>
  <si>
    <t>Код ДК 021:2015-50112000-3 Послуги з ремонту і технічного обслуговування автомобілів (технічне обслуговування автомобіля Renault Logan №ВС1272ІА)</t>
  </si>
  <si>
    <t>Код ДК 021:2015-50310000-1 Технічне обслуговування і ремонт офісної техніки (заправка картриджів )</t>
  </si>
  <si>
    <t>Код ДК 021:2015-50310000-1 Технічне обслуговування і ремонт офісної техніки (заправка картриджів в кількості 7шт.)</t>
  </si>
  <si>
    <t>Код ДК 021:2015-50310000-1 Технічне обслуговування і ремонт офісної техніки (заправка картриджів принтерів (5 шт))</t>
  </si>
  <si>
    <t>Код ДК 021:2015-50310000-1 Технічне обслуговування і ремонт офісної техніки (заправка картриджів принтерів (8 шт))</t>
  </si>
  <si>
    <t>Код ДК 021:2015-50310000-1 Технічне обслуговування і ремонт офісної техніки (заправка картриджів принтерів Canon/HP)</t>
  </si>
  <si>
    <t>Код ДК 021:2015-50310000-1 Технічне обслуговування і ремонт офісної техніки (заправка картриджів принтерів Canon/HP, Kyacer)</t>
  </si>
  <si>
    <t>Код ДК 021:2015-50310000-1 Технічне обслуговування і ремонт офісної техніки (заправка картриджів принтерів Canon/HP, Samsung)</t>
  </si>
  <si>
    <t>Код ДК 021:2015-50310000-1 Технічне обслуговування і ремонт офісної техніки (заправка картриджів принтерів)</t>
  </si>
  <si>
    <t>Код ДК 021:2015-50310000-1 Технічне обслуговування і ремонт офісної техніки (заправка картриджів)</t>
  </si>
  <si>
    <t>Код ДК 021:2015-50410000-2 Послуги з ремонту і технічного обслуговування вимірювальних, випробувальних і контрольних приладів (електролабораторні вимірювання рентгенкабінету КНП "Стебницька міська лікарня" ДМР за адресою: вул. Счових Стрільців,2, м. Стебник, Львівська обл.)</t>
  </si>
  <si>
    <t>Код ДК 021:2015-50410000-2 Послуги з ремонту і технічного обслуговування вимірювальних, випробувальних і контрольних приладів (перезарядка вогнегасників)</t>
  </si>
  <si>
    <t>Код ДК 021:2015-50410000-2 Послуги з ремонту і технічного обслуговування вимірювальних, випробувальних і контрольних приладів (послуги з повірки, контролю метрологічних характеристик, калібрування засобів вимірювальної техніки (Повірка ЗР ЗВТ (Термометри скляні від 0 до 100 град С ТТ, ТЛ та аналогічні, повірка ЗР ЗВІТ(психометри ВИТ-1, ВИТ-2))</t>
  </si>
  <si>
    <t>Код ДК 021:2015-50420000-5 Послуги з ремонту і технічного обслуговування медичного та хірургічного обладнання (планове сервісне обслуговування Апарата рентгенівського діагностичного діагностичного пересувного uDR 370i виробництва компанії UNITED IMAGING (Китай))</t>
  </si>
  <si>
    <t>Код ДК 021:2015-50420000-5 Послуги з ремонту і технічного обслуговування медичного та хірургічного обладнання (послуги з технічного обслуговування біохімічного аналізатора NeoChem 100, серійний номер S/N 550319001-1шт., гематологічного аналізатора Phoenix NCC-3300, серійний номер :S/N 330619003, коагулометра СС 4000, серійний номер S/N RS 232)</t>
  </si>
  <si>
    <t>Код ДК 021:2015-50420000-5 Послуги з ремонту і технічного обслуговування медичного та хірургічного обладнання (технічне обслуговування гематологічного аналізатора Phoenix NCC-3300)</t>
  </si>
  <si>
    <t>Код ДК 021:2015-50421000-2 Послуги з ремонту і технічного обслуговування медичного обладнання (поточний ремонт бінокулярного мікроскопа MICROmed)</t>
  </si>
  <si>
    <t>Код ДК 021:2015-50514200-3 Послуги з ремонту і технічного обслуговування резервуарів ( Послуги по технічному обслуговуванню та ремонту кисневих ємностей, а саме: ємність для зберігання ТРЖК 3м № б.н. 8206116, ємність для газифікації  Portacryo P3019ECS/1 (посудина, що працює під тиском об'ємом 3000 літрів), та кисневої системи ( рампи ,кисневі трубопроводи, крани кисневих точок )</t>
  </si>
  <si>
    <t xml:space="preserve">Код ДК 021:2015-50514200-3 Послуги з ремонту і технічного обслуговування резервуарів ( Послуги по технічному обслуговуванню та ремонту кисневих ємностей, а саме: ємність для зберігання ТРЖК 3м № б.н. 8206116, ємність для газифікації  Portacryo P3019ECS/1 (посудина, що працює під тиском об'ємом 3000 літрів), та кисневої системи ( рампи ,кисневі трубопроводи, крани кисневих точок ) </t>
  </si>
  <si>
    <t>Код ДК 021:2015-50530000-9 Послуги з ремонту і технічного обслуговування техніки (Технічне обслуговування системи газопостачання та газового обладнання(крім ВОГ))</t>
  </si>
  <si>
    <t>Код ДК 021:2015-50750000-7 Послуги з технічного обслуговування ліфтів (повне технічне обслуговування пасажирського ліфта на об'єкті: КНП "Стебницька міська лікарня" ДМР за адресою: Львівська обл., м. Стебник, вул. Січ. Стрільців, 2)</t>
  </si>
  <si>
    <t>Код ДК 021:2015-50800000-3 Послуги з різних видів ремонту і технічного обслуговування (послуги із облаштування, ремонту та розчищення водостоків автомобільною вишкою ВС-22МС (ЗІЛ-431412) №0979Ч1)</t>
  </si>
  <si>
    <t>Код ДК 021:2015-51310000-8 Послуги зі встановлення радіо-, телевізійної, аудіо- та відеоапаратури (монтаж та налаштування системи відеоспостереження)</t>
  </si>
  <si>
    <t>Код ДК 021:2015-60100000-9 Послуги з автомобільних перевезень (послуги по доставці кисню газоподібного медичного)</t>
  </si>
  <si>
    <t xml:space="preserve">Код ДК 021:2015-60100000-9 Послуги з автомобільних перевезень (послуги по доставці кисню газоподібного медичного)
</t>
  </si>
  <si>
    <t>Код ДК 021:2015-60180000-3 Прокат вантажних транспортних засобів із водієм для перевезення товарів (послуги екскаватора JCB 3CXSM)</t>
  </si>
  <si>
    <t>Код ДК 021:2015-64200000-8 Телекомунікаційні послуги</t>
  </si>
  <si>
    <t xml:space="preserve">Код ДК 021:2015-64200000-8 Телекомунікаційні послуги </t>
  </si>
  <si>
    <t>Код ДК 021:2015-65110000-7 Розподіл води</t>
  </si>
  <si>
    <t>Код ДК 021:2015-65110000-7 Розподіл води (послуги з централізованого водопостачання)</t>
  </si>
  <si>
    <t>Код ДК 021:2015-65210000-8 Розподіл газу</t>
  </si>
  <si>
    <t>Код ДК 021:2015-65310000-9 Розподіл електричної енергії</t>
  </si>
  <si>
    <t xml:space="preserve">Код ДК 021:2015-65310000-9 Розподіл електричної енергії </t>
  </si>
  <si>
    <t>Код ДК 021:2015-65310000-9 Розподіл електричної енергії (Послуги з компенсації перетікань реактивної електричної енергії)</t>
  </si>
  <si>
    <t>Код ДК 021:2015-66514110-0 Послуги зі страхування транспортних засобів (Послуги з обов’язкового страхування цивільно - правової відповідальності власників наземних транспортних засобів, КНП "СМЛ" ДМР (Volkswagen Transporter, Renault Logan))</t>
  </si>
  <si>
    <t>Код ДК 021:2015-71240000-2 Архітектурні, інженерні та планувальні послуги (послуги з технічної інвентаризації об'єктів нерухомого майна та виготовлення технійчних паспортів за результатами інвентаризації на корпус інфекційного відділення лікарні за адресою: м. Стебник, вул. Січових Стрільців,2 )</t>
  </si>
  <si>
    <t>Код ДК 021:2015-71250000-5 Архітектурні, інженерні та геодезичні послуги (виготовлення проекту землеустрою щодо відведення земельної ділянки за адресою: м. Стебник, вул. Січових Стрільців, 2)</t>
  </si>
  <si>
    <t>Код ДК 021:2015-71250000-5 Архітектурні, інженерні та геодезичні послуги (послуги з технічної інвентаризації, виготовлення технічних паспортів та їх реєстрації в ЄДЕССБ на стаціонарний корпус лікарні за адресою:м. Стебник, вул.Січових Стрільців,2)</t>
  </si>
  <si>
    <t>Код ДК 021:2015-71310000-4 Консультаційні послуги у галузях інженерії та будівництва (висновок експертизи стану охорони праці  та безпеки прмислового виробництва  суб'єкта господарювання під час експлуатції заявлених машин, механізмів, устаткування та їх відповідності  вимогам законодавства з питань охорони праці та промислової безпеки)</t>
  </si>
  <si>
    <t>Код ДК 021:2015-71310000-4 Консультаційні послуги у галузях інженерії та будівництва (первинний технічний огляд кріоконтейнера 2871 літра (модель Р3019ЕСS/1) зав. №10220210764)</t>
  </si>
  <si>
    <t>Код ДК 021:2015-71319000-7 Експертні послуги (проведення експертизи кошторисної частини проекту будівництва: "Капітальний ремонт приміщення лабораторії поліклінічного відділення КНП "Стебницька міська лікарня"ДМР за адресою: вул. Січових Стрільців,2, м. Стебник, Львівська обл.")</t>
  </si>
  <si>
    <t>Код ДК 021:2015-71319000-7 Експертні послуги (проведення експертизи кошторисної частини проекту будівництва: "Капітальний ремонт приміщення інфекційного відділення КНП "Стебницька міська лікарня"ДМР за адресою: вул. Січових Стрільців,2, м. Стебник, Львівська обл.")</t>
  </si>
  <si>
    <t>Код ДК 021:2015-71319000-7 Експертні послуги (проведення експертизи кошторисної частини проекту будівництва: "Капітальний ремонт приміщення інфекційного відділення КНП "Стебницька міська лікарня"ДМР за адресою: вул. Січових Стрільців,2, м. Стебник, Львівська область")</t>
  </si>
  <si>
    <t>Код ДК 021:2015-71319000-7 Експертні послуги (проведення експертизи кошторисної частини проекту будівництва: "Капітальний ремонт частини приміщень поліклінічного відділення  КНП "Стебницька міська лікарня"ДМР за адресою: вул. Січових Стрільців,2, м. Стебник, Львівська обл.")</t>
  </si>
  <si>
    <t>Код ДК 021:2015-71319000-7 Експертні послуги (проведення експертизи кошторисної частини: "Капітальний ремонт системи безперебійного електропостачання КНП "Стебницька міська лікарня"ДМР за адресою: вул. Січових Стрільців,2, м. Стебник, Львівська обл.")</t>
  </si>
  <si>
    <t>Код ДК 021:2015-71320000-7 Послуги з інженерного проектування (виготовлення проектно-кошторисної документації по об'єкту: "Капітальний ремонт частини приміщень поліклінічного відділення КНП "Стебницька міська лікарня" ДМР за адресою: вул. Січових Стрільців,2, м. Стебник, Львівська обл.")</t>
  </si>
  <si>
    <t>Код ДК 021:2015-71320000-7 Послуги з інженерного проектування (виготовлення робочого проекту по об'єкту: "Капітальний ремонт системи безперебійного електропостачання КНП "Стебницька міська лікарня" ДМР за адресою: вул. Січових Стрільців,2, м. Стебник, Львівська обл.")</t>
  </si>
  <si>
    <t>Код ДК 021:2015-71322000-1 Послуги з інженерного проектування в галузі цивільного будівництва (розробка кошторисної документації по об'єкту: "Капітальний ремонт приміщення лабораторії поліклінічного відділення КНП "Стебницька міська лікарня" ДМР за адресою: вул. Січових Стрільців, 2, м. Стебник, Львівська обл.")</t>
  </si>
  <si>
    <t>Код ДК 021:2015-71330000-0 Інженерні послуги різні (послуги з технічної інвентаризації об'єктів нерухомого майна та виготовлення технічних паспортів за результатами інвентаризації, та їх реєстрація в ЄДЕССБ на стаціонарний корпус лікарні за адресою: м. Стебник, вул. Січових Стрільців,2)</t>
  </si>
  <si>
    <t>Код ДК 021:2015-71340000-3 Комплексні інженерні послуги (видача висновку експертизи щодо додержання вимог законодавства з питань ОП та ПБ під час виконання робіт підвищеної небезпеки)</t>
  </si>
  <si>
    <t>Код ДК 021:2015-71520000-9 Послуги з нагляду за виконанням будівельних робіт (технічний нагляд за  "Капітальний ремонт коридорів 2-го поверху КНП "Стебницька міська лікарня" ДМР")</t>
  </si>
  <si>
    <t>Код ДК 021:2015-71520000-9 Послуги з нагляду за виконанням будівельних робіт (технічний нагляд за об'єктом "Капітальний ремонт частини поліклінічного відділення КНП "Стебницька міська лікарня" ДМР за адресою: вул. Січовий Стрільців,2, м. Стебник, Львівська обл.")</t>
  </si>
  <si>
    <t>Код ДК 021:2015-71520000-9 Послуги з нагляду за виконанням будівельних робіт (технічний нагляд за об'єктом: "Технічне переоснащення системи киснепостачання терапевтичного відділення у КНП "Стебницька міська лікарня"ДМР" за адресою: м. Стебник, вул. Січових Стрільців,2, Львівська обл. (капітальний ремонт))</t>
  </si>
  <si>
    <t>Код ДК 021:2015-71520000-9 Послуги з нагляду за виконанням будівельних робіт (технічний нагляд за об'єктом: "Технічне переоснащення системи киснепостачання інфекційного відділення у КНП "Стебницька міська лікарня"ДМР" за адресою: м. Стебник, вул. Січових Стрільців,2, Львівська обл. (капітальний ремонт))</t>
  </si>
  <si>
    <t>Код ДК 021:2015-71520000-9 Послуги з нагляду за виконанням будівельних робіт (технічний нагляд за об'єктом:"Капітальний ремонт лабораторії поліклінічного відділення КНП "Стебницька міська лікарня"ДМР" за адресою: м. Стебник, вул. Січових Стрільців,2, Львівська обл.")</t>
  </si>
  <si>
    <t>Код ДК 021:2015-71520000-9 Послуги з нагляду за виконанням будівельних робіт (технічний нагляд за об'єктом:"Капітальний ремонт приміщення рентгенкабінету поліклінічного відділення КНП "Стебницька міська лікарня"ДМР" за адресою: м. Стебник, вул. Січових Стрільців,2, Львівська обл.")</t>
  </si>
  <si>
    <t>Код ДК 021:2015-71520000-9 Послуги з нагляду за виконанням будівельних робіт (технічний нагляд за об'єктом:"Капітальний ремонт приміщення інфекційного відділення КНП "Стебницька міська лікарня"ДМР" за адресою: м. Стебник, вул. Січових Стрільців,2, Львівська обл.")</t>
  </si>
  <si>
    <t>Код ДК 021:2015-71520000-9 Послуги з нагляду за виконанням будівельних робіт(технічний нагляд за об'єктом:"Капітальний ремонт системи безперебійного електропостачання КНП "Стебницька міська лікарня"ДМР" за адресою: м. Стебник, вул. Січових Стрільців,2, Львівська обл.")</t>
  </si>
  <si>
    <t>Код ДК 021:2015-71530000-2 Консультаційні послуги в галузі будівництва (проведення експертизи щодо розгляду кошторисної частини проектної документації об'єкта будівництва згідно робочого проекту : "Капітальний ремонт приміщення рентгенкабінету поліклінічного відділення КНП "Стебницька міська лікарня" ДМР за адресою: вул. Січових Стрільців,2, м. Стебник, Львівська обл.")</t>
  </si>
  <si>
    <t>Код ДК 021:2015-71630000-3 Послуги з технічного огляду та випробовувань (видача висновку експертизи стану охорони праці та безпеки промислового виробництва суб'єкта господарювання під час експлуатації заявлених машин механізмів, устаткування, первинний технічний огляд крана)</t>
  </si>
  <si>
    <t>Код ДК 021:2015-71630000-3 Послуги з технічного огляду та випробовувань (електролабораторні вимірювання у частині приміщень поліклінічного відділення (лабораторія) КНП "Стебницька міська лікарня" ДМР за адресою: вул. Січових Стрільців,2, м. Стебник, Львівська обл.)</t>
  </si>
  <si>
    <t>Код ДК 021:2015-71630000-3 Послуги з технічного огляду та випробовувань (електролабораторні вимірювання у частині приміщень поліклінічного відділення КНП "Стебницька міська лікарня" ДМР за адресою: вул. Січових Стрільців,2, м. Стебник, Львівська обл.)</t>
  </si>
  <si>
    <t>Код ДК 021:2015-71630000-3 Послуги з технічного огляду та випробовувань (обстеження будівлі в частині доступності осіб з інвалідністю та інших маломобільних груп населення)</t>
  </si>
  <si>
    <t>Код ДК 021:2015-71630000-3 Послуги з технічного огляду та випробовувань (обстеження будівлі терапевтичного корпусу КНП "Стебницької міської лікарні" ДМР за адресою: м. Стебник, вул. Січових Стрільців,2, в частині доступності осіб з інвалідністю та інших маломобільних груп населення)</t>
  </si>
  <si>
    <t>Код ДК 021:2015-71630000-3 Послуги з технічного огляду та випробовувань (промивка, продувка та дезінфекція кисневого трубопроводу)</t>
  </si>
  <si>
    <t>Код ДК 021:2015-72243000-0 Послуги з програмування (ліцензія на активування доступу до модулю Функціонал для закладів спеціалізованої медичної допомоги-Адмін модуль НМП СМД до 31.12.2021р.)</t>
  </si>
  <si>
    <t>Код ДК 021:2015-72250000-2 Послуги, пов’язані із системами та підтримкою (ліцензія на активування доступу до модулю Функціонал для закладів первинної медичної допомоги- Реєстрація НМП, підрозділів, користувачів до 31.12.2021р.)</t>
  </si>
  <si>
    <t>Код ДК 021:2015-72250000-2 Послуги, пов’язані із системами та підтримкою (послуги з підготовки інформації до звіту)</t>
  </si>
  <si>
    <t>Код ДК 021:2015-72260000-5 Послуги, пов’язані з програмним забезпеченням (постачання примірника та пакетів оновлень (комплект) комп'ютерної програми "М.Е.Doc" Модуль "М.Е.Doc Звітність" з правом використання на рік, постачання примірника та пакетів оновлень (комплект) комп'ютерної програми "М.Е.Doc" Модуль "М.Е.Doc Електронний документообіг" (базовий) з правом використання на рік)</t>
  </si>
  <si>
    <t>Код ДК 021:2015-72260000-5 Послуги, пов’язані з програмним забезпеченням (супровід програмного забезпечення- комп'ютерної програми та бази даних "Облік кадрів України")</t>
  </si>
  <si>
    <t>Код ДК 021:2015-72260000-5 Послуги, пов’язані з програмним забезпеченням (супровід та обслуговування автоматизованої системи "Зарплата")</t>
  </si>
  <si>
    <t>Код ДК 021:2015-72260000-5 Послуги, пов’язані з програмним забезпеченням (установка програмного забезпечення коип'юьерної програми та бази даних "Медична статистика")</t>
  </si>
  <si>
    <t>Код ДК 021:2015-72267100-0 Обслуговування програмного забезпеченням (ліцензія на активування доступу до модулю Функціонал для закладів спеціалізованої медичної допомоги-Електронні медичні записи до 31.12.2021р.)</t>
  </si>
  <si>
    <t>Код ДК 021:2015-72710000-0 Послуги у сфері локальних мереж (монтаж та налаштування локальної мережі)</t>
  </si>
  <si>
    <t>Код ДК 021:2015-75250000-3 Послуги пожежних і рятувальних служб (перевірка та випробовування протипожежного водопостачання КНП "Стебницька міська лікарня"ДМР за адресою: м. Стебник, вул. Січових Стрільців, 2)</t>
  </si>
  <si>
    <t>Код ДК 021:2015-79210000-9 Бухгалтерські та аудиторські послуги (наглядовий аудит за сертифікованою системою управління якістю)</t>
  </si>
  <si>
    <t>Код ДК 021:2015-79713000-5 Послуги з охорони об’єктів та особистої охорони</t>
  </si>
  <si>
    <t>Код ДК 021:2015-79820000-8 Послуги, пов’язані з друком (виготовлення електронної версії інформаційного блоку та розміщення макету статті у книзі "Велика Україна")</t>
  </si>
  <si>
    <t>Код ДК 021:2015-79820000-8 Послуги, пов’язані з друком (друк на ПВХ плівці з ламінацією 1300*300 мм)</t>
  </si>
  <si>
    <t>Код ДК 021:2015-80320000-3 Послуги у сфері медичної освіти (Надання освітніх послуг  на циклі спеціалізації "Інфекційні хвороби")</t>
  </si>
  <si>
    <t>Код ДК 021:2015-80510000-2 Послуги з професійної підготовки спеціалістів</t>
  </si>
  <si>
    <t>Код ДК 021:2015-80510000-2 Послуги з професійної підготовки спеціалістів (Вища онлайн-школа головної медсестри: Програма "Правовий захист медпрацівників: як уникнути конфліктів, штрафів та суду" (надання права на використання))</t>
  </si>
  <si>
    <t>Код ДК 021:2015-80510000-2 Послуги з професійної підготовки спеціалістів (навчання ІТП по "Правила ОП під час експлуатації вантажопідіймальних кранів, підіймальних пристроїв і відповідного обладнання")</t>
  </si>
  <si>
    <t>Код ДК 021:2015-80510000-2 Послуги з професійної підготовки спеціалістів (навчання ІТП по "Правила будови та безпечної експлуатації ліфтів")</t>
  </si>
  <si>
    <t>Код ДК 021:2015-80510000-2 Послуги з професійної підготовки спеціалістів (навчання відповадільного, який обслуговує посудини, що працюють під тиском, навчання відповадільного за обладнання, що працюють під тиском, навчання стропальник)</t>
  </si>
  <si>
    <t>Код ДК 021:2015-80510000-2 Послуги з професійної підготовки спеціалістів (навчання на циклі спеціалізації пульмонологія для Волошинського В.З. 05.10.2021р.-29.12.2021р.)</t>
  </si>
  <si>
    <t>Код ДК 021:2015-80510000-2 Послуги з професійної підготовки спеціалістів (навчання на циклі спеціалізації функціональна діагностика для Гіщак О.Ю. 01.09.2021р.-30.12.2021р.)</t>
  </si>
  <si>
    <t>Код ДК 021:2015-80510000-2 Послуги з професійної підготовки спеціалістів (навчання осіб, відповідальних за ведення робіт при експлуатації  електроустановок споживачів, згідно вимог ПБЕЕС для присвоєння II-V групи з електробезпеки)</t>
  </si>
  <si>
    <t>Код ДК 021:2015-80510000-2 Послуги з професійної підготовки спеціалістів (навчання осіб, відповідальних за ведення робіт при експлуатації електроустановок споживачів згідно вимог ПБЕЕС для присвоєння II-V групи з електробезпеки)</t>
  </si>
  <si>
    <t>Код ДК 021:2015-80510000-2 Послуги з професійної підготовки спеціалістів (навчання робітників з експлуатації вантажопідіймальних машин, що керуються з підлоги)</t>
  </si>
  <si>
    <t>Код ДК 021:2015-80510000-2 Послуги з професійної підготовки спеціалістів (навчання та атестація посадових осіб і фахівців з питань охорони праці)</t>
  </si>
  <si>
    <t>Код ДК 021:2015-80510000-2 Послуги з професійної підготовки спеціалістів (переатестація ІТП по "Правила будови та безпечної експлуатації ліфтів")</t>
  </si>
  <si>
    <t>Код ДК 021:2015-80510000-2 Послуги з професійної підготовки спеціалістів (підтвердження II-Vгрупи з електробезпеки на виробництві осіб, відповідальних за безпечне проведення робіт при експлуатації  електроустановок споживачів згідно вимог ПБЕЕС)</t>
  </si>
  <si>
    <t>Код ДК 021:2015-80520000-5 -Навчальні засоби (Консультаційні послуги з навчання спеціалістів з питань здійснення публічних закупівель)</t>
  </si>
  <si>
    <t>Код ДК 021:2015-80522000-9 Навчальні семінари ("Клінічні протоколи втратили чинність: як працювати, щоб не втратити ліцензію і не програти в суді" (онлайн))</t>
  </si>
  <si>
    <t>Код ДК 021:2015-80522000-9 Навчальні семінари (Зразкова медсестра: як поліпшити якість медичної допомоги)</t>
  </si>
  <si>
    <t>Код ДК 021:2015-80522000-9 Навчальні семінари (участь в семінарі "Права і відповідальність медсестри, яка надає невідкладну допомогу:теорія та практика" (22.01.2021, 10:00 м. Київ (1))</t>
  </si>
  <si>
    <t xml:space="preserve">Код ДК 021:2015-80522000-9 Навчальні семінари (участь в семінарі "Права і відповідальність медсестри, яка надає невідкладну допомогу:теорія та практика" (22.01.2021, 10:00 м. Київ (1))
</t>
  </si>
  <si>
    <t>Код ДК 021:2015-80530000-8 Послуги у сфері професійної підготовки (участь у курсі "Обіг підконтрольних речовин за новим законодавством")</t>
  </si>
  <si>
    <t>Код ДК 021:2015-80550000-4 Послуги з професійної підготовки у сфері безпеки (навчання електротехнічного персоналу з присвоєнням групи з електробезпеки)</t>
  </si>
  <si>
    <t>Код ДК 021:2015-80550000-4 Послуги з професійної підготовки у сфері безпеки (навчання на курсах удосконалення (спеціалізація) радіаційна безпека)</t>
  </si>
  <si>
    <t>Код ДК 021:2015-80550000-4 Послуги з професійної підготовки у сфері безпеки (програма  навчання з питань пожежної безпеки посадових осіб підприємств, установ та організацій)</t>
  </si>
  <si>
    <t>Код ДК 021:2015-80561000-4 Послуги з професійної підготовки у сфері охорони здоров’я (цикл тематичного удосконалення: "Трансплантація нирки та підшлункової залози" (05.04-16.04.2021р.))</t>
  </si>
  <si>
    <t>Код ДК 021:2015-85110000-3 Послуги лікувальних закладів та супутні послуги</t>
  </si>
  <si>
    <t xml:space="preserve">Код ДК 021:2015-85110000-3 Послуги лікувальних закладів та супутні послуги </t>
  </si>
  <si>
    <t>Код ДК 021:2015-85110000-3 Послуги лікувальних закладів та супутні послуги (послуги з проведення цитологічних досліджень)</t>
  </si>
  <si>
    <t>Код ДК 021:2015-85140000-2 Послуги у сфері охорони здоров’я різні (Відшкодування вартості лікарських засобів, відпущених за безкоштовними та пільговими рецептами відповідно до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</si>
  <si>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Код ДК 021:2015-85140000-2 Послуги у сфері охорони здоров’я різні (Відшкодування вартості лікарських засобів, відпущених за безкоштовними та пільговими рецептами, а саме: наркотичними засобами, психотропними речовинами, відповідно до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</si>
  <si>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Код ДК 021:2015-85140000-2 Послуги у сфері охорони здоров’я різні (визначення температури повітря, вологості повітря, швидкості руху повітря, рівня освітленості, загального мікробного числа у воді, коліформних бактерій у воді, або ЛКП у воді, виявлення ентерококків у визначеній кількості зразка в харчових продуктах та ін. об'єктів життєдіяльності людини)</t>
  </si>
  <si>
    <t>Код ДК 021:2015-85140000-2 Послуги у сфері охорони здоров’я різні (відшкодування понесених витрат від забезпечення лікарськими засобами пільгових верств населення, відповідно до Постанови Кабінету міністрів України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</si>
  <si>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Код ДК 021:2015-85140000-2 Послуги у сфері охорони здоров’я різні (відшкодування понесених витрат від забезпечення технічними та іншими засобами пільгових верств населення, відповідно до Постанови Кабінету міністрів України №1301 від 03.12.1998р. "Про затвердження Порядку забезпечення інвалідів і діткй-інвалідів технічними та іншими засобами")</t>
  </si>
  <si>
    <t>Код ДК 021:2015-85140000-2 Послуги у сфері охорони здоров’я різні (забезпечення пільгових верств населення технічними та іншими засобами відповідно до Постанови Кабінету міністрів України №1301 від 03.12.1998 р. "Про затвердження Порядку забезпечення інвалідів і дітей-інвалідів технічними та іншими засобами", відпущених, згідно відомості форми первинної облікової документації Ф-№169-1/о)</t>
  </si>
  <si>
    <t>Код ДК 021:2015-85140000-2 Послуги у сфері охорони здоров’я різні (забезпечення пільгових верств населення технічними та іншими засобами відповідно до Постанови Кабінету міністрів України №1301 від 03.12.1998р. "Про заствердження Порядку забезпечення інвалідів і дітей-інвалідів технічними та іншими засобами", відпущених, згідно відомості форми первинної облікової документації Ф-№169-1/о)</t>
  </si>
  <si>
    <t>Код ДК 021:2015-85140000-2 Послуги у сфері охорони здоров’я різні (прийняття заліку з гігієнічної підготовки)</t>
  </si>
  <si>
    <t>Код ДК 021:2015-85140000-2 Послуги у сфері охорони здоров’я різні (проведення періодичного радіаційного контролю: проведення розрахунку радіаційного обладнання, надання консультаційної допомоги з питань радіаціної безпеки)</t>
  </si>
  <si>
    <t>Код ДК 021:2015-85140000-2 Послуги у сфері охорони здоров’я різні (проведення програми МПР : Клінічна біохімія в клінічній лабораторній діагностиці (2 етап), проведення програми МПР: Гематологія- автоматичний підрахунок клітин крові (2 етап (3 DIFF)))</t>
  </si>
  <si>
    <t xml:space="preserve">Код ДК 021:2015-90430000-0 Послуги з відведення стічних вод </t>
  </si>
  <si>
    <t xml:space="preserve">Код ДК 021:2015-90510000-5 Утилізація/видалення сміття та поводження зі сміттям </t>
  </si>
  <si>
    <t>Код ДК 021:2015-90520000-8 Послуги у сфері поводження з радіоактивними, токсичними, медичними та небезпечними відходами (Послуги по збору, перевезенню, зберіганню та утилізації інфікованих відходів від діяльності відділення по наданню медичної допомоги хворим на корона вірусну хворобу COVID-19 )</t>
  </si>
  <si>
    <t>Код ДК 021:2015-90520000-8 Послуги у сфері поводження з радіоактивними, токсичними, медичними та небезпечними відходами (Послуги по збору, перевезенню, зберіганню та утилізації інфікованих відходів від діяльності відділення по наданню медичної допомоги хворим на корона вірусну хворобу COVID-19)</t>
  </si>
  <si>
    <t>Код ДК 021:2015-90520000-8 Послуги у сфері поводження з радіоактивними, токсичними, медичними та небезпечними відходами (клінічні та подібні їм відходи (голки,скарифікатори, дзеркала, шприци, вага, бинт, перев'язувальні матеріали, системи, рукавички та ін.,засоби індивідуального захисту, інфіковані та потенційно інфіковані (COVID), біологічні відходи та анатомічні)</t>
  </si>
  <si>
    <t>Код ДК 021:2015-90520000-8 Послуги у сфері поводження з радіоактивними, токсичними, медичними та небезпечними відходами (послуги із збирання, зберігання, утилізації небезпечних відходів (шляхом знешкодження). Медичні відходи категорії "В" (шприци, голки, скарифікатори, перев'язувальні матеріали, мед.системи, рукавиці використані, тара аптечна, засоби індивідуального захисту))</t>
  </si>
  <si>
    <t>Код ДК 021:2015-90730000-3 Відстеження, моніторинг забруднень і відновлення (розробка документів, що обгрунтовують обсяги викидів забруднюючих речовин в атмосферу від підприємства та отримання дозволу на викиди)</t>
  </si>
  <si>
    <t xml:space="preserve">Код ДК 021:2015-90920000-2 Послуги із санітарно-гігієнічної обробки приміщень (Дератизація приміщення лікарні, дезінфекція приміщення харчоблоків)
</t>
  </si>
  <si>
    <t>Код ДК 021:2015-98390000-3 Інші послуги (оренда кисневих балонів за червень, липень, серпень 2021 рр., в кількості 150 балонів)</t>
  </si>
  <si>
    <t>Код ДК 021:2015-98390000-3 Інші послуги (оренда кисневих балонів)</t>
  </si>
  <si>
    <t>Код ДК 021:2015-98393000-4 Кравецькі послуги (послуги з пошиву прорезинових наматрасників)</t>
  </si>
  <si>
    <t>Код ДК 021:2015-99999999-9 Не відображене в інших розділах  (Оренда ємності ТРЖК-3м № б.н. 8206116 )</t>
  </si>
  <si>
    <t>Код ДК 021:2015-Код ДК 021:2015-33190000-8 Медичне обладнання та вироби медичного призначення різні (Костюм біологічного захисту (халат ізоляційний медичний одноразовий, комбінезон захисний ізоляційний, бахіли))</t>
  </si>
  <si>
    <t>Код ДК 021:2015: 33160000 - 9 Устаткування для операційних блоків (Відеобронхоскоп (код НК 024:2019 17662 - Гнучкий відеобронхоскоп)</t>
  </si>
  <si>
    <t>Код ДК 021:2015: 33160000 - 9 Устаткування для операційних блоків (НК 024:2019 – 35616 Система ендоскопічної візуалізації (Вiдеоендоскопiчний комплекс у складі), НК 024:2019 – 32043 Лапароскопічний набір для хірургічних процедур, немедикаментозний, багаторазовий (Лапароскопічний набір для хірургічних процедур), НК 024:2019 – 44776 Електрохірургічна система (Електрохірургічний аппарат)</t>
  </si>
  <si>
    <t>Код ДК 021:2015– 33690000-3-Лікарські засоби різні (Реагент-пак ST-200 CC Reagent Pack - ABGEM +1(Glu/Lac) Electrode- ABGEM, Код НК 024:2019: 54498 - Множинні аналіти газів крові IVD, набір, йон-селективні електроди, Миючий розчин Sensa Daily Cleaning Solution – ABGEM, код НК 024:2019 – 63377 - Засіб очищення приладу / аналізатора ІВД; Контролі газів Sensa Stat Blood Gas Controls (TriLevel) – ABGEM, код НК 024:2019 – 52860 - Множинні аналіти газів крові/гемоксиметрія/електроліти IVD, контрольний матеріал)</t>
  </si>
  <si>
    <t>Код ДК 021:2021-45450000-6 Інші завершальні будівельні роботи (Капітальний ремонт частини приміщень поліклінічного відділення  КНП "Стебницька міська лікарня" ДМР за адресою: вул. Січових Стрільців,2, м. Стебник, Львівська обл )</t>
  </si>
  <si>
    <t>Код ДК 021:215-48814400-1 Клінічні інформаційні системи (ліцензія на активування доступу до модулю Функціонал для закладів первинної медичної допомоги-Укладення капітаційних договорів з НЗСУ до 31.12.2021р.)</t>
  </si>
  <si>
    <t xml:space="preserve">Код ДК 021:215-48814400-1 Клінічні інформаційні системи (ліцензія на активування доступу до модулю Функціонал для закладів первинної медичної допомоги-Укладення капітаційних договорів з НЗСУ до 31.12.2021р.) </t>
  </si>
  <si>
    <t>Код ДК 022:2015-44510000-8 Знаряддя (держач до лопат, вили, граблі, молоток, обценьки)</t>
  </si>
  <si>
    <t>Код ДК 02:2015-33600000-6 Фармацевтична продукція (меробоцил пор. д/ін. 1000 мг фл. №1)</t>
  </si>
  <si>
    <t>Код ДК:021-2015- 33600000-6 Фармацевтична продукція (Бліцеф пор. д/інф. 1г №10, Єврозидим пор. д/п р-ну д/інг. 1 г №10, Левопро р-н д/інф 500 мг 100 мл №1,  Левопро р-н  д/інф 500 мг 150 мл №1)</t>
  </si>
  <si>
    <t>Код КД 021:2015-15860000-4 Кава, чай та супутня продукція (чай чорний Ріоба 250)</t>
  </si>
  <si>
    <t>Комбінезон медичний одноразовий, нестерильний (Код НК 024:2019-16176  Ізолювальний костюм); Бахіли медичні одноразові, нестерильні (Код НК 024:2019-61937- Бахіли хірургічні)</t>
  </si>
  <si>
    <t>Комбінезон медичний одноразовий, нестерильний (спанбонд, одношаровий щільністю не менше 30г/м2); Бахіли медичні одноразові, нестерильні (спанбонд щільністю не менше 30г/м2); Комбінезон медичний одноразовий, нестерильний (ламінований спанбонд, одношаровий щільністю не менше 45г/м2); Бахіли медичні одноразові, нестерильні (ламінований спанбонд щільністю не менше 45г/м2)</t>
  </si>
  <si>
    <t>Консультаційні послуги з навчання спеціалістів з питань здійснення публічних закупівель</t>
  </si>
  <si>
    <t>Крісло туалет ; Столик маніпуляційний СМ-3 (євро) ; Голка для взяття кількох проб крові BD Vacutainer 21Gх1.5", 0.8ммх38мм ; Коробка стерилізаційна з нержавіючої сталі по SCHIMMELBUSCH SURGIWELOMED. Діаметр 150 мм , вис 150мм; Манжета для вимірювання артеріального  тиску з одним виходом /стандарт/; Штатив для довготривалих вливань ШДВ; Шафа медична для ендоскопів; Судно пластикове; Сечоприймач чоловічий 1000мл; Термометр максимальний; Зонд урогенітальний  для одноразового використання, стерильний, тип 2 (універсальний); Пластир бактерицидний  8,0*6,0см; Аптечка офісна навісна; Штатив для тривалих вливань складний  ШДВ-С                   ; Система моніторингу рівня глюкози в крові  iDia; Смужки діагностичні  до глюкометра iDia (50шт)  (потрібна дана марка, так як замовником використовуються глюкометри даного виробника); Ланцет №100 до глюкометра; Глюкометр Wellion Luna Duo  (тест-смужки №25 glu (глюкоза); Тест-смужки Wellion Luna №5 chol (холестерин); Коробка стерилізаційна з нержавіючої сталі по SCHIMMELBUSCH SURGIWELOMED. Діаметр 150 мм , вис 150мм</t>
  </si>
  <si>
    <t>Л 115/535/21</t>
  </si>
  <si>
    <t>Л 116/536/21</t>
  </si>
  <si>
    <t>Л 202/836/212</t>
  </si>
  <si>
    <t>Л 205/837/21</t>
  </si>
  <si>
    <t>Л-3/1/218/21</t>
  </si>
  <si>
    <t>Л128/583/21</t>
  </si>
  <si>
    <t>Л129/582/21</t>
  </si>
  <si>
    <t>Л132/595/21</t>
  </si>
  <si>
    <t>Л150/794/21</t>
  </si>
  <si>
    <t>Л203/835/21</t>
  </si>
  <si>
    <t>Л204/834/21</t>
  </si>
  <si>
    <t>Л208/860/21</t>
  </si>
  <si>
    <t>Л213/868/21</t>
  </si>
  <si>
    <t>Л44/177/21</t>
  </si>
  <si>
    <t>Л5/61/21</t>
  </si>
  <si>
    <t>Л51/172/21</t>
  </si>
  <si>
    <t>Л6/59/21</t>
  </si>
  <si>
    <t>Л68/251/21</t>
  </si>
  <si>
    <t>Л69/250/21</t>
  </si>
  <si>
    <t>Л7/60/21</t>
  </si>
  <si>
    <t>Л74/261/21</t>
  </si>
  <si>
    <t>Л75/260/21</t>
  </si>
  <si>
    <t>Л8/58/21</t>
  </si>
  <si>
    <t>Л85/344/21</t>
  </si>
  <si>
    <t>Л87/449/21</t>
  </si>
  <si>
    <t>Л90/345/21</t>
  </si>
  <si>
    <t>Л93/400/21</t>
  </si>
  <si>
    <t>Л94/404/21</t>
  </si>
  <si>
    <t>ЛІП-00000078/656/21</t>
  </si>
  <si>
    <t>ЛІП09-014/734/21</t>
  </si>
  <si>
    <t>ЛІП09-015/741/21</t>
  </si>
  <si>
    <t>ЛЕВКОВИЧ СОФІЯ МИХАЙЛІВНА</t>
  </si>
  <si>
    <t>ЛЬВІВСЬКИЙ НАЦІОНАЛЬНИЙ МЕДИЧНИЙ УНІВЕРСИТЕТ ІМЕНІ ДАНИЛА ГАЛИЦЬКОГО</t>
  </si>
  <si>
    <t>Левопро р-н д/інф 500 мг 150мл №1; Левопро р-н д/інф 500 мг 100мл №1; Євроцефтаз пор.д/п ін.р-ну 1000+125 мг №1; Єврозидим пор.д/п р-ну д/інг. 1г №10; Вомікайнд р-н д/ін. 2 мг/мл 4мл №4; Вомікайнд р-н д/ін. 2 мг/мл 2мл №4; Бліцеф пор.д/інф. 1г №10</t>
  </si>
  <si>
    <t>Лист "Екстренне повідомлення про інф захворювання" А5, папір офсет 80 мг; Журнал "Обліку прийому хворих у стаціонар та відмов від госпіталізації" А4,200 арк. 1+1, блок газетний папір, обкладинка газений картон, кріплення скоба;  журнал "Реєстрації ультразвукових досліджень" А4, 50арк., 1+1, папір офсет 80, кріплення скоба, обкладинка картон; медична карта огляду водія, 1+1 А5, папір офсет 80; журнал реєстрації заяв інвалідів, А4, папір офсет 80гр, друк 1+1,кріплення скоба, обкладинка картон, ; наклейка 250*50 мм</t>
  </si>
  <si>
    <t>Лісова Тетяна Анатоліївна</t>
  </si>
  <si>
    <t>МАКСИМІВ ІВАН МИХАЙЛОВИЧ</t>
  </si>
  <si>
    <t>МАЛЕ ПРИВАТНЕ ПІДПРИЄМСТВО "НІКА"</t>
  </si>
  <si>
    <t>МАЛЕ ПРИВАТНЕ ПІДПРИЄМСТВО "НІКА" ( кінцевий бенефіціарний власник- ГУК Р. Я. Львівська обл., м. Дрогобич, вул.Л.УКРАЇНКИ, 8/16,)</t>
  </si>
  <si>
    <t>МАЛЕ ПРИВАТНЕ ПІДПРИЄМСТВО "НІКА" (кінцевий бенефіціарний власник - Гук Р.Я., м. Дрогобич, вул.Лесі Українки, будинок 16,)</t>
  </si>
  <si>
    <t>МУШТАЄВ ОЛЕКСАНДР МИКОЛАЙОВИЧ</t>
  </si>
  <si>
    <t>Мережевий кабель вита пара 4х0,51 FTP indor</t>
  </si>
  <si>
    <t>Мікрореакція на сифіліс; Урогенітальний мазок на флору (трихомонади,кандіда гонокок,гарднерелла)</t>
  </si>
  <si>
    <t>Мішки для сміття Міцні 60*20;  Мішки д/сміття Чисто 35*30</t>
  </si>
  <si>
    <t>НАВЧАЛЬНО-МЕТОДИЧНИЙ ЦЕНТР ЦИВІЛЬНОГО ЗАХИСТУ ТА БЕЗПЕКИ ЖИТТЄДІЯЛЬНОСТІ ЛЬВІВСЬКОЇ ОБЛАСТІ</t>
  </si>
  <si>
    <t>НЕСТОР РУСЛАНА АНТОНІВНА</t>
  </si>
  <si>
    <t>Набір гінекологічний №12; Скарифікатор (ланцет)№200; Вата  100 гр. н/с; Лейкопластир 2х500 мед.на бавовняні основі; Бинт марлевий медичний 5х10см н/с; Бинт марлевий медичний 7 Х14см н/с; Джгут  в/в; Вимірювач артеріального тиску механ.ВК2001-3001 з стетоскопом; Шовк стерильний №2; Шовк стерильний №4; Шовк стерильний №6; Шовк стерильний №3; Шовний матеріал ПОЛІГЛІКОЛІД стерильний з голкою; Шпатель ЛОР стерильний	; Пластир бактерицидний  8,0*6,0см; Зонд урогенітальний  для одноразового використання, стерильний, тип 2 (універсальний); Пінцет хірургічний 150мм	; Пінцет анатомічний 150мм; Голкотримач; Затискач кровозупинний; Термометр клінічний; Вимірювач артеріального тиску  цифровий напівавтомат LD-2; Гігрометр ВИТ- 2(+16-+40С); Гігрометр ВИТ-1 (0+25С); Гачок для видалення чужорідних тіл з носа SURGIWELOMED; Гачок для видалення чужорідних тіл з вуха SURGIWELOMED; Ложка вушна кюретажна по Jansen, двостороння, гостра SURGIWELOMED. Довжина 15 см; Пластир для фіксації катетерів Ю-ФІКС на спанлейс основі  6см*8см</t>
  </si>
  <si>
    <t>Натрію хлорид  р-н 0,9% 200 мл;  Рінгера р-н 200 мл; Рінгер лактатний р-н 200 мл</t>
  </si>
  <si>
    <t>Нафта і дистиляти</t>
  </si>
  <si>
    <t>Нафта і дистиляти (ДП (Євро 5), АЗС«WOG», Львівська область, Дрогобицький район, талон); Нафта і дистиляти (Бензин А-95 (Євро 5), АЗС«WOG», Львівська область, Дрогобицький район, талон); Нафта і дистиляти (Бензин А-92 (Євро 5), АЗС«WOG», Львівська область, Дрогобицький район, талон)</t>
  </si>
  <si>
    <t>Немає лотів</t>
  </si>
  <si>
    <t>Номер договору</t>
  </si>
  <si>
    <t>ОККО КОНТРАКТ</t>
  </si>
  <si>
    <t>ОККО-ПОСТАЧ</t>
  </si>
  <si>
    <t>ОНИСЬКІВ РОМАН СЕРГІЙОВИЧ</t>
  </si>
  <si>
    <t>ОЦВ 21-16535-ЛВЗ-0502/823/21</t>
  </si>
  <si>
    <t>Олія "Ранок"1л; олія "Аро" 0,820</t>
  </si>
  <si>
    <t>Омепразол  Ананта -капсули з модифікованим вивільненням по 20 мг №100; Цефтриаксон Ананта- порошок для розчину для ін'єкцій по 2 г у флаконах №1; Цефтриаксон Ананта- порошок для розчину для ін'єкцій по 1 г у флаконах №1; Левофлоксацин розчин для інфузій 500 мг/100 мл у контейнері №1; Рінгера Розчин- розчин для інфузій, пляшка скляна 200 мл</t>
  </si>
  <si>
    <t>Оцет 9% ; хліб Мединичі Володар 0,6 кг; сухарі паніровочні 350г; макарони в асортименті 1 кг; цукор ; сіль; чай чорний 250г</t>
  </si>
  <si>
    <t>ПАЛАЙДА ЄВГЕН ІВАНОВИЧ</t>
  </si>
  <si>
    <t>ПАСІЧНИК АНДРІЙ ПАВЛОВИЧ</t>
  </si>
  <si>
    <t>ПАСІЧНИК МАР'ЯН ПАВЛОВИЧ</t>
  </si>
  <si>
    <t>ПАСІЧНИК ЮЛІЯ МИКОЛАЇВНА</t>
  </si>
  <si>
    <t>ПБ-38/171/21</t>
  </si>
  <si>
    <t>ПКО Тіопентал ліоф. д/р-ну д/ін 0,5г; ПКО Пропофол- Ліпуро емул. д/інф. 1% 10мг/мл 20 мл №5; ПКО Пропофол емул. д/ін. 10/20 мл №5</t>
  </si>
  <si>
    <t>ПОЛОЗОК ЮРІЙ ІВАНОВИЧ</t>
  </si>
  <si>
    <t>ПОНОМАРЬОВА ЛАРИСА ІВАНІВНА</t>
  </si>
  <si>
    <t>ПОХОДЖАЙ МИКОЛА МИХАЙЛОВИЧ</t>
  </si>
  <si>
    <t>ПП СОЛОМІЯ-СЕРВІС</t>
  </si>
  <si>
    <t>ПРИВАТНЕ АКЦІОНЕРНЕ ТОВАРИСТВО "ЛЬВІВОБЛЕНЕРГО"</t>
  </si>
  <si>
    <t>ПРИВАТНЕ АКЦІОНЕРНЕ ТОВАРИСТВО "ЛЬВІВОБЛЕНЕРГО" (кінцевий бенефіціарний власник-Боголюбов Г.Б., Україна, 01001, м.Київ, вул.Царика Григорія, 3/3,Суркіс І.Р., Україна, 03150, м.Київ, вул.Ділова, 11/5)</t>
  </si>
  <si>
    <t>ПРИВАТНЕ АКЦІОНЕРНЕ ТОВАРИСТВО "ЛЬВІВОБЛЕНЕРГО" (кінцевий бенефіціарний власник-Боголюбов Г.Б., м.Київ, вул.Царика Григорія, 3/3,Суркіс І.Р. м.Київ, вул.Ділова, 11/ 5.)</t>
  </si>
  <si>
    <t>ПРИВАТНЕ ПІДПРИЄМСТВО "ІНФУЗІЯ"</t>
  </si>
  <si>
    <t>ПРИВАТНЕ ПІДПРИЄМСТВО "ЕКО-ПРОСТІР"</t>
  </si>
  <si>
    <t>ПРИВАТНЕ ПІДПРИЄМСТВО "КОБРА-СЕРВІС"</t>
  </si>
  <si>
    <t>ПРИВАТНЕ ПІДПРИЄМСТВО "ЛЬВІВ-ПРОДУКТ"</t>
  </si>
  <si>
    <t>ПРИВАТНЕ ПІДПРИЄМСТВО "МЕДІНФОСЕРВІС"</t>
  </si>
  <si>
    <t>ПРИВАТНЕ ПІДПРИЄМСТВО "ОМЕГА"</t>
  </si>
  <si>
    <t>ПРИВАТНЕ ПІДПРИЄМСТВО "ПОЖТЕХБЕЗПЕКА ЛЬВІВ"</t>
  </si>
  <si>
    <t>ПРИВАТНЕ ПІДПРИЄМСТВО "СОЛОМІЯ-СЕРВІС"</t>
  </si>
  <si>
    <t>ПРИВАТНЕ ПІДПРИЄМСТВО "СОЛОМІЯ-СЕРВІС" ( кінцевий бенефіціарний власник- ФЕДЕЧКО О. Я., м. Львів, вул.Бойчука М., 5/117)</t>
  </si>
  <si>
    <t>ПРИВАТНЕ ПІДПРИЄМСТВО "СОЛОМІЯ-СЕРВІС" ( кінцевий бенефіціарний власник-ФЕДЕЧКО ОЛЕКСАНДР ЯРОСЛАВОВИЧ, Україна, м.Львів, вул.Бойчука М.,  5/117)</t>
  </si>
  <si>
    <t>ПРИВАТНЕ ПІДПРИЄМСТВО "СОЛОМІЯ-СЕРВІС" (кінцевий бенефіціарний власник ФЕДЕЧКО ОЛЕКСАНДР ЯРОСЛАВОВИЧ, Україна, 79053, Львівська обл., м. Львів, вул.Бойчука М.,5/117)</t>
  </si>
  <si>
    <t>ПРИВАТНЕ ПІДПРИЄМСТВО "СОЛОМІЯ-СЕРВІС" (кінцевий бенефіціарний власник- ФЕДЕЧКО О.Я., місто Львів, вул.Бойчука М., 5/117)</t>
  </si>
  <si>
    <t>ПРИВАТНЕ ПІДПРИЄМСТВО "СОЛОМІЯ-СЕРВІС"(кінцевий бенефіціарний власник ФЕДЕЧКО ОЛЕКСАНДР ЯРОСЛАВОВИЧ, Україна, 79053, Львівська обл., м. Львів, вул.Бойчука М.,5/117)</t>
  </si>
  <si>
    <t>ПРИВАТНЕ ПІДПРИЄМСТВО "ТЕХНОІНФОМЕД-2"</t>
  </si>
  <si>
    <t>ПРИВАТНЕ ПІДПРИЄМСТВО ПРИВАТНЕ ТОРГОВО-ВИРОБНИЧЕ ПІДПРИЄМСТВО "ЛІГА"</t>
  </si>
  <si>
    <t>ПУБЛІЧНЕ АКЦІОНЕРНЕ ТОВАРИСТВО "УКРТЕЛЕКОМ"</t>
  </si>
  <si>
    <t>ПУЩИНСЬКИЙ ВОЛОДИМИР ПАВЛОВИЧ</t>
  </si>
  <si>
    <t>Папір кольоровий  IQ Color A4 160 г/м2 250 аркушів</t>
  </si>
  <si>
    <t>Переговорна процедура</t>
  </si>
  <si>
    <t>Переговорна процедура, скорочена</t>
  </si>
  <si>
    <t>Переможець (назва)</t>
  </si>
  <si>
    <t>Предмет закупівлі</t>
  </si>
  <si>
    <t>Пробірки вакуумні пластикові IMPROVACUTER, без наповнювача 4 мл, 13x75мм, паперова етикетка, 100 шт.,; Пробірки вакуумні пластикові IMPROVACUTER, з рідким напиленням K3ЕДTA 2 мл, 13x75мм, шт; Пробірки вакуумні пластикові для сироватки IMPROVACUTER, з розділовим гелем і активатором 3,5 мл, шт; Пробірки вакуумні пластикові IMPROVACUTER, з цитратом натрію 0.109M (3,2%) 2,7 мл, 13x75мм, шт; Пробірки IMPROVACUTER® ESR вакуумні скляні з подвійною шкалою</t>
  </si>
  <si>
    <t xml:space="preserve">Підложка під ламінат "D'FLOOR" 1000*500*3мм (уп.5 кв.м); покриття для підлоги ПВХ Квебек 1/3,5м Favorit; покриття для підлоги ПВХ Квебек 1/4 Favorit </t>
  </si>
  <si>
    <t>РАДЧЕНКО ІГОР ВЯЧЕСЛАВОВИЧ</t>
  </si>
  <si>
    <t>РВ-14/707/21</t>
  </si>
  <si>
    <t>РЕДЬКО ВЛАДИСЛАВ ДМИТРОВИЧ</t>
  </si>
  <si>
    <t>Рафт р-н д/ін. 4мг 1мл №10; Дексеметазону фосфат р-н д-ін. 0,4 % 1мл №10</t>
  </si>
  <si>
    <t>Реагент-пак ST-200 CC Reagent Pack - ABGEM (800ml+200ml+500ml)+1(Glu/Lac) Electrode- ABGEM для  Аналізатора газів крові та електролітів ST-200 CC Blood Gas Analyzer - ABGEM; Контролі газів Sensa Stat Blood Gas Controls (TriLevel) – ABGEM  для  Аналізатора газів крові та електролітів ST-200 CC Blood Gas Analyzer - ABGEM; Миючий розчин Sensa Daily Cleaning Solution – ABGEM  для  Аналізатора газів крові та електролітів ST-200 CC Blood Gas Analyzer - ABGEM</t>
  </si>
  <si>
    <t>Реагенти (набори реагентів) для визначення рівня Д-димеру; Реагенти (набори реагентів) для визначення рівня протикальцитоніну</t>
  </si>
  <si>
    <t>Реагенти (набори реагентів) для визначення рівня Прокальцитоніну (РСТ); Реагенти (набори реагентів) для визначення рівня Д-димеру (D-dimer)</t>
  </si>
  <si>
    <t>Реагенти (набори реагентів) для визначення рівня прокальцитоніну (РСТ); Реагенти (набори реагентів) для визначення рівня Д-димеру (D-dimer)</t>
  </si>
  <si>
    <t>Рушник паперовий; Туалетний папір Софі про 130*12; Туалетний папір Кохавинка-Велікан 1 шт; Рушник Зетка 1 шт; Рушник паперовий</t>
  </si>
  <si>
    <t>СЕЙКО АНАСТАСІЯ-МАРІЯ АНДРІЇВНА</t>
  </si>
  <si>
    <t>СЕНІВ ЛЕСЯ ЄВГЕНІВНА</t>
  </si>
  <si>
    <t>СЕНЮК АНДРІЙ ВАСИЛЬОВИЧ</t>
  </si>
  <si>
    <t>СЕРЕДЯК МИКОЛА ПЕТРОВИЧ</t>
  </si>
  <si>
    <t>СЕРКІЗ МИКОЛА СТЕПАНОВИЧ</t>
  </si>
  <si>
    <t>СО000081/46/21</t>
  </si>
  <si>
    <t>СОЛОВЙОВА КАТЕРИНА ОЛЕКСАНДРІВНА</t>
  </si>
  <si>
    <t>СП015456/209/21</t>
  </si>
  <si>
    <t>СПІВАК ЛЮБОМИР ВІТАЛІЙОВИЧ</t>
  </si>
  <si>
    <t>СТМ-Фарм</t>
  </si>
  <si>
    <t>СУБОТИК МАРІЯ МАР'ЯНІВНА</t>
  </si>
  <si>
    <t>Сангера розчин для ін'єкції 100 мг/мл по 10 мл ампули №5</t>
  </si>
  <si>
    <t>Сибазон 0,5% 2,0 ; Морфін г/х 1% 1,0</t>
  </si>
  <si>
    <t>Системний блок (корпус LogicPower LP S6055BK-400W; мат. плата Asus PRIME A320M-K (A320/sAM4); процесор AMD Athlon 3000G 2Core (3.5GHz, 4МВ, 35W) АМ4; оперативна пам'ять DDR4 RAM 4GB AMD 2400MHz; накопичувач SSD 2.5 120GB Apacer AS350 Panther); монітор 24 "Samsung S24R350F (IPS, 5мс, 1920*1080, 75 Hz, HDMI/VGA)"; клавіатура Gembird KB-103 Black PS/2; мишка Gembird MUS-6B-01-BG USB сіро-чорна</t>
  </si>
  <si>
    <t>Спрощена закупівля</t>
  </si>
  <si>
    <t>Статус договору</t>
  </si>
  <si>
    <t>Стрічка діаграмна 110*25; стрічка діаграмна 215*20 (12) внутр. №5</t>
  </si>
  <si>
    <t>Стіл пристінний лабораторний СЛП-06.031.071 1200х750х800мм; Надбудова пристінна лабораторна НСП-2.012.120 1200х270х900мм; Стіл пристінний лабораторний СЛП-06.10101.071 1700х750х900мм; Стіл сервісний лабораторний ССЛ-01.003.030 750(+70)х500х900(+50)мм; Шафа витяжна лабораторна ШВЛ-02.101.00 1200х750х2200мм; Шафа для посуду лабораторна ШПЛ-02.141 800х400х1950мм; Стіл мийка лабораторна СМЛ-06.202.090 1500х700х900мм; Стіл пристінний лабораторний СЛП-06.031.071 1200х600х800мм; Шафа для посуду лабораторна ШПЛ-02.131 600х400х1950мм; Стіл сервісний медичний ССМ-01.002.R30 750(+70)х500х900(+50)мм; Шафа витяжна лабораторна ШВЛ-02.101.00 1500х750х2200мм; Шафа для посуду лабораторна ШПЛ-02.131 800х400х1950мм</t>
  </si>
  <si>
    <t>Сума договору</t>
  </si>
  <si>
    <t>ТІВ-1/02/2021/276/21</t>
  </si>
  <si>
    <t>ТІВ-1/09/2021/686/21</t>
  </si>
  <si>
    <t>ТІВ-10/09/2021/693/21</t>
  </si>
  <si>
    <t>ТІВ-11/09/2021/696/21</t>
  </si>
  <si>
    <t>ТІВ-12/09/2021/694/21</t>
  </si>
  <si>
    <t>ТІВ-2/03/2021/277/21</t>
  </si>
  <si>
    <t>ТІВ-2/04/2021/456/21</t>
  </si>
  <si>
    <t>ТІВ-2/09/2021/687/21</t>
  </si>
  <si>
    <t>ТІВ-3/03/2021/278/21</t>
  </si>
  <si>
    <t>ТІВ-3/04/2021/457/21</t>
  </si>
  <si>
    <t>ТІВ-3/09/2021/697/21</t>
  </si>
  <si>
    <t>ТІВ-4/03/2021</t>
  </si>
  <si>
    <t>ТІВ-4/04/2021/458/21</t>
  </si>
  <si>
    <t>ТІВ-5/03/2021/280/21</t>
  </si>
  <si>
    <t>ТІВ-5/04/2021/459/21</t>
  </si>
  <si>
    <t>ТІВ-5/09/2021/688/21</t>
  </si>
  <si>
    <t>ТІВ-6/03/2021/281/21</t>
  </si>
  <si>
    <t>ТІВ-6/04/2021/460/21</t>
  </si>
  <si>
    <t>ТІВ-6/09/2021/689/21</t>
  </si>
  <si>
    <t>ТІВ-7/03/2021/282/21</t>
  </si>
  <si>
    <t>ТІВ-7/09/2021/690/21</t>
  </si>
  <si>
    <t>ТІВ-8/09/2021/691/21</t>
  </si>
  <si>
    <t>ТІВ-9/09/2021/692/21</t>
  </si>
  <si>
    <t>ТВВ-1/03/2021/273/21</t>
  </si>
  <si>
    <t>ТВВ-2/03/2021/274/21</t>
  </si>
  <si>
    <t>ТВВ-3/03/2021/275/1</t>
  </si>
  <si>
    <t>ТЗОВ "МЕДИЧНИЙ ЦЕНТР "М.Т.К."( кінцевий  бенефіціарний власник Деркач Н. М.,  Україна, 03110, м.Київ, вул.Клінічна,  23-25, кв.173)</t>
  </si>
  <si>
    <t>ТЗОВ "НАВЧАЛЬНО-КОНСАЛТИНГОВИЙ ЦЕНТР "ЗАКУПІВЛІ"( кінцевий бенефіціарний власник КОНДАКОВ О. Г,  Україна, м. Харків, вул. УЖВІЙ НАТАЛІЇ,  72)</t>
  </si>
  <si>
    <t>ТЗОВ "ПРОМО-МЕД"</t>
  </si>
  <si>
    <t>ТОВ  "МЕДКОМПЛЕКС" (кінцевий бенефіціарний власник-Барковський В. Є. місто Львів, вул.Менделєєва Д. 3/2, Шенгофер Н. М.,  81127, Львівська обл., Львівський р-н, село Підбірці, вул.Яхимовича митрополита, 28.</t>
  </si>
  <si>
    <t>ТОВ "АПТЕКА №44" (ХУДЗІК І.Г., Україна, 79495, Львівська обл., м. Львів, м. Винники(з), вул.Яворницького, 44-А.)</t>
  </si>
  <si>
    <t>ТОВ "АПТЕКА №44" (кінцевий бенефіціарний власник - ХУДЗІК І.Г., м.Львів, вул.Яворницького,  44-А)</t>
  </si>
  <si>
    <t>ТОВ "АПТЕКА №44" (кінцевий бенефіціарний власник-ХУДЗІК І.Г. Україна, 79495, Львівська обл., м. Львів, м. Винники(з), вул.Яворницького,  44-А.)</t>
  </si>
  <si>
    <t>ТОВ "АПТЕКА №44" (кінцевий бенефіціарний власник-ХУДЗІК І.Г., м. Львів, вул.Яворницького,44-А.)</t>
  </si>
  <si>
    <t>ТОВ "АПТЕКА №44"(кінцевий бенефіціарний власник-ХУДЗІК І. Г., місто Львів, м.Винники, вул.Яворницького, будинок 44-А.)</t>
  </si>
  <si>
    <t>ТОВ "АПТЕКА №44"(кінцевий бенефіціарний власник-ХУДЗІК І.Г., м. Львів, місто Винники, вул.Яворницького, будинок 44-А.)</t>
  </si>
  <si>
    <t>ТОВ "ВІОЛА-МЕДФАРМ" (кінцевий бенефіціарний власник-СУВАКІВСЬКА Н. П., Україна, 08201, Київська обл., місто Ірпінь, вул.Університетська, 27. )</t>
  </si>
  <si>
    <t>ТОВ "Галицька здоба"</t>
  </si>
  <si>
    <t>ТОВ "ЕКО ТЕПЛО ДРОГОБИЧ"(КІНЦЕВИЙ БЕНЕФЕЦІАР ПАВЛЮК О.В. Україна, 82100, Львівська обл., м. Дрогобич, вул . ШЕВЧЕНКА, 33/1, ДЕМКО І.А., Україна, 82100, Львівська обл., м Дрогобич, ВУЛ.Є.КОНОВАЛЬЦЯ , 13/ 43</t>
  </si>
  <si>
    <t>ТОВ "ЕЛПІС" (КІНЦЕВИЙ БЕНЕФІЦІАРНИЙ ВЛАСНИК - ЕНДРЮ РОДНІ НОЕЛЬ ДІКСОН,  ВЕЛИКОБРИТАНІЯ,  ТОВ"УКРКОМІНВЕСТ", Код ЄДРПОУ:33548902, Україна, м.Київ, вул. О. Гончара, 45-В</t>
  </si>
  <si>
    <t>ТОВ "ЕЛПІС" (КІНЦЕВИЙ БЕНЕФІЦІАРНИЙ ВЛАСНИК - ЕНДРЮ РОДНІ НОЕЛЬ ДІКСОН, ВЕЛИКОБРИТАНІЯ, ТОВ "УКРКОМІНВЕСТ", Код ЄДРПОУ:33548902,Україна, м.Київ, вул. О. ГОНЧАРА, 45-В)</t>
  </si>
  <si>
    <t>ТОВ "ЕЛПІС" (КІНЦЕВИЙ БЕНЕФІЦІАРНИЙ ВЛАСНИК - ЕНДРЮ РОДНІ НОЕЛЬ ДІКСОН, СПОЛУЧЕНЕ КОРОЛІВСТВО ВЕЛИКОЇ БРИТАНІЇ ТА ПІВНІЧНОЇ ІРЛАНДІЇ ВЕЛИКОБРИТАНІЯ, 10 ЕЛМС КОРТ УЕСТКЛІФФ-ОН-СІ, ЕССЕКС SS0 0BF.)</t>
  </si>
  <si>
    <t>ТОВ "ЕЛПІС" (КІНЦЕВИЙ БЕНЕФІЦІАРНИЙ ВЛАСНИК- ЕНДРЮ РОДНІ НОЕЛЬ ДІКСОН, СПОЛУЧ.КОРОЛ. ВЕЛ. БРИТАНІЇ ТА ПІВН.ІРЛАНДІЇ ВЕЛ.БРИТАНІЯ, 10 ЕЛМС КОРТ УЕСТКЛІФФ-ОН-СІ, ЕССЕКС SS0 0BF,  ТОВ "УКРКОМІНВЕСТ", ЄДРПОУ:33548902, м. Київ, вул.О.ГОНЧАРА, 45-В)</t>
  </si>
  <si>
    <t>ТОВ "ЕЛПІС" (КІНЦЕВИЙ БЕНЕФІЦІАРНИЙ ВЛАСНИК- ЕНДРЮ РОДНІ НОЕЛЬ ДІКСОН, СПОЛУЧ.КОРОЛ. ВЕЛ. БРИТАНІЇ ТА ПІВН.ІРЛАНДІЇ ВЕЛ.БРИТАНІЯ, 10 ЕЛМС КОРТ УЕСТКЛІФФ-ОН-СІ, ЕССЕКС SS0 0BF, ТОВ "УКРКОМІНВЕСТ", ЄДРПОУ:33548902, м. Київ, вул.О.ГОНЧАРА, 45-В)</t>
  </si>
  <si>
    <t>ТОВ "ЕЛПІС" (Кінцевий бенефіціар-ЕНДРЮ РОДНІ НОЕЛЬ ДІКСОН,ВЕЛИКОБРИТАНІЯ, ТОВ "УКРКОМІНВЕСТ", Код ЄДРПОУ:33548902, Країна резиденства: Україна)</t>
  </si>
  <si>
    <t>ТОВ "ЕЛПІС"(КІНЦЕВИЙ БЕНЕФІЦІАРНИЙ ВЛАСНИК - ЕНДРЮ РОДНІ НОЕЛЬ ДІКСОН, ВЕЛИКОБРИТАНІЯ, ТОВ "УКРКОМІНВЕСТ", Код ЄДРПОУ:33548902,Україна, м.Київ, вул. О. ГОНЧАРА, 45-В)</t>
  </si>
  <si>
    <t>ТОВ "Елпіс"(Кінцевий бенефіціар-ЕНДРЮ РОДНІ НОЕЛЬ ДІКСОН,ВЕЛИКОБРИТАНІЯ, ТОВ "УКРКОМІНВЕСТ", Код ЄДРПОУ:33548902, Країна резиденства: Україна)</t>
  </si>
  <si>
    <t>ТОВ "ЛЬВІВЕНЕРГОЗБУТ"(КІНЦЕВИЙ БЕНЕФІЦІАРНИЙ ВЛАСНИК  - ФОМЕНКО А. М.,м. Львів,вул. Шевченка, 404/33,  БЕЗУГЛИЙ О.Ю., Україна, м. Ів.-Франківська обл., м. Калуш, просп Л. Українки, 1/96)</t>
  </si>
  <si>
    <t>ТОВ "МІЖНАРОДНИЙ ЦЕНТР ФІНАНСОВО-ЕКОНОМІЧНОГО РОЗВИТКУ-УКРАЇНА" (КІНЦЕВИЙ БЕНЕФІЦІАРНИЙ ВЛАСНИК - РАССЕЛ ЛОУРЕНС ЯКОБС, ВЕЛИКА БРИТАНІЯ, КОМПАНІЯ З ОБМЕЖЕНОЮ ВІДПОВІДАЛЬНІСТЮ "ЕЙАРДЖЕЙ КОРПОРЕЙТ СЕРВІСЕС ЛІМІТЕД", РЕСПУБЛІКА КІПР</t>
  </si>
  <si>
    <t>ТОВ "МАС СІСТЕМЗ" (кінцевий бенефіціарний власник-СЛЮСАРЧУК В.В., м. Київ, вул.Стуса Василя, 28/160, корпус А,МАРЕК АНДРЖЕЙ ГАЛЯНТ, Польща.,  74724, М.СТРАХОВІЦЕ, ВУЛ.СТРЕЛЬНІЦА, БУД.7.)</t>
  </si>
  <si>
    <t>ТОВ "МЕДИЧНИЙ ЦЕНТР "М.Т.К."(кінцевий бенефіціарний власник-Деркач Н. М., м. Київ, вул.Клінічна, 23-25/173, Гуменюк М.І., м. Київ, вул.Клінічна, 23-25/173)</t>
  </si>
  <si>
    <t>ТОВ "МЕДИЧНИЙ ЦЕНТР "М.Т.К."(кінцевий бенефіціарний власник-Деркач Н.М., м.Київ, вул.Клінічна, 23-25/173, Гуменюк М.І., м. Київ, вул.Клінічна, 23-25/173.)</t>
  </si>
  <si>
    <t>ТОВ "Медінтекс"</t>
  </si>
  <si>
    <t>ТОВ "НАУКОВО-ВИРОБНИЧА КОМПАНІЯ "УКРЕКОПРОМ" (бенефіціарний власник -ДУМБРАВА І.М.58032, м. Чернівці вул.Головна, 222/98, НЕЧИТАЙЛО О.Л., 65111, м. Одеса, вул.Бочарова генерала,16/15,САРГСЯН ТАТЕВІК, Вірменія., 65033, місто Одеса, вул.Литовська, 8.</t>
  </si>
  <si>
    <t>ТОВ "ОПТМЕДФАРМПОСТАЧ"</t>
  </si>
  <si>
    <t>ТОВ "ПРОМО-МЕД" ( кінцевий бенефіціарний власник- ПЕТРУХ Н. Б., Україна, 79058,  м. Львів, вул.Шеремети П., 17, ПЕТРУХ А.В., Україна, 79058, м. Львів, вул.Куліша П., 47/1-а.)</t>
  </si>
  <si>
    <t>ТОВ "РЕМБУДКОНСАЛТІНГ" (кінцевий бенефіціарний власник-Штурнак Л. З., Україна, 79018, Львівська обл., місто Львів, вул.Героїв УПА, 78Б, 3) )</t>
  </si>
  <si>
    <t>ТОВ "СЕКТОР ГАЗУ"(кінц бенеф вл.-Герич А.Т., м.Чернівці, вул.Залозецького 111/43,Герич О.М.,м.Чернівці, вул.Залозецького 111/43, Герич І.Т., Чернівецька обл., м. Сторожинець, вул.Чаплигіна,47/21,Москалюк М.М., Тернопільська обл., Борщівський р-н, с.Окопи)</t>
  </si>
  <si>
    <t>ТОВ "СКАЙ-ФАРМА" (кінцевий бенефіціарний власник- КОШЕЛЬ О. А., 65039, Одеська обл., м.Одеса, пр.Гагаріна,  16/1, кв.26)</t>
  </si>
  <si>
    <t>ТОВ "СКАЙ-ФАРМА"( кінцевий бенефіціарний власник-КОШЕЛЬ О.А., м. Одеса, пр.Гагаріна, будинок 16/1, квартира 26.)</t>
  </si>
  <si>
    <t>ТОВ "СПЕЦМОНТАЖ №426" (кінцевий бенефіціарний власник-КРАСНОПОЛЬСЬКИЙ О. В., 82300, Львівська обл., Дрогобицький р-н, м. Борислав, вул.Бічна-Джерельна, 15/ 4)</t>
  </si>
  <si>
    <t>ТОВ "СТРАХОВА КОМПАНІЯ "ГАРДІАН" (кінцевий бенефіціарний власник-СКИБА С. А., м. Чернігів, вул.Мстиславська, будинок 89, квартира 34. )</t>
  </si>
  <si>
    <t>ТОВ "ФАРМАСЕЛ" ( кінцевий бенефіціарний власник-Лисицький А. Г., м. Донецьк, вул.Шевченка, 52/6, Михайличенко О.А., Київська обл., Фастівський р-н, с. Малютянка, вул.Васильківська,7 )</t>
  </si>
  <si>
    <t>ТОВ "ФАРМАСЕЛ" ( кінцевий бенефіціарний власникй-Лисицький А.Г., місто Донецьк, вул.Шевченка, 52/6, Михайличенко О. А., Київська обл., Фастівський р-н, с. Малютянка, вул.Васильківська,7)</t>
  </si>
  <si>
    <t>ТОВ ''ДЕЗОДАР'' (кінцевий бенефіціарний власник- ДЯТЛОВ В.Б., 08292, Київська обл., місто Буча(з), пров.Садовий, будинок 13.)</t>
  </si>
  <si>
    <t>ТОВ ''ДЕЗОДАР'' (кінцевий бенефіціарний власник- ДЯТЛОВ В.Б., 08292, Київська обл., місто Буча, пров.Садовий, будинок 13.)</t>
  </si>
  <si>
    <t>ТОВ ''ДЕЗОДАР'' (кінцевий бенефіціарний власник-ДЯТЛОВ В.Б., Україна, 08292, Київська обл., місто Буча(з), пров.Садовий, будинок 13.)</t>
  </si>
  <si>
    <t>ТОВ МЕДСЕРВІСГРУП</t>
  </si>
  <si>
    <t>ТОВ"ЕЛПІС"(Кінцевий бенефіціар-ЕНДРЮ РОДНІ НОЕЛЬ ДІКСОН,ВЕЛИКОБРИТАНІЯ, ТОВ "УКРКОМІНВЕСТ", Код ЄДРПОУ:33548902, Країна резиденства: Україна)</t>
  </si>
  <si>
    <t>ТОВ"МІЖНАРОДНИЙ ЦЕНТР ФІНАНСОВО-ЕКОНОМІЧНОГО РОЗВИТКУ-УКРАЇНА"( кінцевий бенефіціарний власник-Якобс Рассел Лоуренс, Сполучене Королівство., Ізраїль, 65150, місто Тель-Авів, вулиця Шабазі, будинок 17.)</t>
  </si>
  <si>
    <t>ТОВ"МЕДИЧНИЙ ЦЕНТР "М.Т.К."(кінцевий бенефіціарний власник-Деркач Н.М.,м. Київ, вул.Клінічна, 23-25/173,Гуменюк М.І.м. Київ, вул.Клінічна, 23-25/ 173.)</t>
  </si>
  <si>
    <t>ТОВ"СЕКТОР ГАЗУ"(кінц бенеф вл.-Герич А.Т., Герич О.М., м.Чернівці, вул.Залозецького В.111/43,Герич І.Т., Чернівецька обл., м. Сторожинець, вул.Чаплигіна, 47/ 21,Москалюк М.М., Тернопільська обл., Борщівський р-н, село Окопи)</t>
  </si>
  <si>
    <t>ТОВ"СЕКТОР ГАЗУ"(кінц бенеф вл.-Герич А.Т., м.Чернівці, вул.Залозецького 111/43,Герич О.М.,м.Чернівці, вул.Залозецького 111/43, Герич І.Т., Чернівецька обл., м. Сторожинець, вул.Чаплигіна,47/21,Москалюк М.М., Тернопільська обл., Борщівський р-н, с.Окопи)</t>
  </si>
  <si>
    <t>ТОВАРИСТВО З ОБМЕЖЕНОЮ ВІДПОВІДАЛЬНІСТЮ  "В И Ш Е Н Ь К А "</t>
  </si>
  <si>
    <t>ТОВАРИСТВО З ОБМЕЖЕНОЮ ВІДПОВІДАЛЬНІСТЮ "ІНЖЕНЕРНО-ВИРОБНИЧА ФІРМА "РЕМТЕХГАЗ"</t>
  </si>
  <si>
    <t>ТОВАРИСТВО З ОБМЕЖЕНОЮ ВІДПОВІДАЛЬНІСТЮ "ІННОВАЦІЙНІ БІОЛОГІЧНІ ТЕХНОЛОГІЇ"</t>
  </si>
  <si>
    <t>ТОВАРИСТВО З ОБМЕЖЕНОЮ ВІДПОВІДАЛЬНІСТЮ "ІНСТИТУТ ЕКОНОМІЧНОЇ ОСВІТИ І РОЗВИТКУ"</t>
  </si>
  <si>
    <t>ТОВАРИСТВО З ОБМЕЖЕНОЮ ВІДПОВІДАЛЬНІСТЮ "АВЕНТУСФАРМ" ( кінцевий бенефіціарний власник Світличний В. О. Україна, 63400, Харківська обл., Зміївський р-н, місто Зміїв(з), вул.Пролетарське шосе)</t>
  </si>
  <si>
    <t>ТОВАРИСТВО З ОБМЕЖЕНОЮ ВІДПОВІДАЛЬНІСТЮ "АВЕНТУСФАРМ" (кінцевий бенефіціарний власник-Світличний В.О., 63400, Харківська обл., Зміївський р-н, місто Зміїв, вул.Пролетарське шосе, 1А,/ 31)</t>
  </si>
  <si>
    <t>ТОВАРИСТВО З ОБМЕЖЕНОЮ ВІДПОВІДАЛЬНІСТЮ "АККУ-ЕНЕРГО"</t>
  </si>
  <si>
    <t>ТОВАРИСТВО З ОБМЕЖЕНОЮ ВІДПОВІДАЛЬНІСТЮ "АЛСЕНА" (кінцевий бенефіціарний власник -ІВАНОВ ОЛЕКСАНДР МИКОЛАЙОВИЧ, Україна, 65059, Одеська обл., м.Одеса, пров.Хвойний, 8-Б/ 33)</t>
  </si>
  <si>
    <t>ТОВАРИСТВО З ОБМЕЖЕНОЮ ВІДПОВІДАЛЬНІСТЮ "АПТЕКА ДОБРОГО ДНЯ"</t>
  </si>
  <si>
    <t>ТОВАРИСТВО З ОБМЕЖЕНОЮ ВІДПОВІДАЛЬНІСТЮ "АПТЕКА №44"</t>
  </si>
  <si>
    <t>ТОВАРИСТВО З ОБМЕЖЕНОЮ ВІДПОВІДАЛЬНІСТЮ "АПТЕКА №44" (кінцевий бенефіціарний власник- ХУДЗІК І.Г., Україна, 79495, Львівська обл., місто Львів, місто Винники(з), вул.Яворницького, будинок 44-А)</t>
  </si>
  <si>
    <t>ТОВАРИСТВО З ОБМЕЖЕНОЮ ВІДПОВІДАЛЬНІСТЮ "АСКЕП"</t>
  </si>
  <si>
    <t>ТОВАРИСТВО З ОБМЕЖЕНОЮ ВІДПОВІДАЛЬНІСТЮ "АТ-ФАРМА"</t>
  </si>
  <si>
    <t>ТОВАРИСТВО З ОБМЕЖЕНОЮ ВІДПОВІДАЛЬНІСТЮ "АТ-ФАРМА" (кінцевий бенефіціарний власник-ПУХЕЛЯК А.С., Україна, 02055, м. Київ, вул.Ахматової Анни,16-Б/22)</t>
  </si>
  <si>
    <t>ТОВАРИСТВО З ОБМЕЖЕНОЮ ВІДПОВІДАЛЬНІСТЮ "БІОАЛЬТЕРНАТИВА"</t>
  </si>
  <si>
    <t>ТОВАРИСТВО З ОБМЕЖЕНОЮ ВІДПОВІДАЛЬНІСТЮ "БІОЛАБС"</t>
  </si>
  <si>
    <t>ТОВАРИСТВО З ОБМЕЖЕНОЮ ВІДПОВІДАЛЬНІСТЮ "БАРБАТЕКСТІЛЬ"</t>
  </si>
  <si>
    <t>ТОВАРИСТВО З ОБМЕЖЕНОЮ ВІДПОВІДАЛЬНІСТЮ "ВІОЛА-МЕДФАРМ"</t>
  </si>
  <si>
    <t>ТОВАРИСТВО З ОБМЕЖЕНОЮ ВІДПОВІДАЛЬНІСТЮ "ДАКСЕРВІС ПЛЮС"</t>
  </si>
  <si>
    <t>ТОВАРИСТВО З ОБМЕЖЕНОЮ ВІДПОВІДАЛЬНІСТЮ "ДАКСЕРВІС"</t>
  </si>
  <si>
    <t>ТОВАРИСТВО З ОБМЕЖЕНОЮ ВІДПОВІДАЛЬНІСТЮ "ДОРСЕРВІС"</t>
  </si>
  <si>
    <t>ТОВАРИСТВО З ОБМЕЖЕНОЮ ВІДПОВІДАЛЬНІСТЮ "ДРОГОБИЦЬКА МІСЬКА ДРУКАРНЯ"</t>
  </si>
  <si>
    <t>ТОВАРИСТВО З ОБМЕЖЕНОЮ ВІДПОВІДАЛЬНІСТЮ "ДРОГОБИЧКИСЕНЬГАЗ ЛХЗ"</t>
  </si>
  <si>
    <t>ТОВАРИСТВО З ОБМЕЖЕНОЮ ВІДПОВІДАЛЬНІСТЮ "ЕКО ТЕПЛО ДРОГОБИЧ"</t>
  </si>
  <si>
    <t>ТОВАРИСТВО З ОБМЕЖЕНОЮ ВІДПОВІДАЛЬНІСТЮ "ЕКО ЦЕНТР ЛЬВІВ"</t>
  </si>
  <si>
    <t>ТОВАРИСТВО З ОБМЕЖЕНОЮ ВІДПОВІДАЛЬНІСТЮ "ЕКОЛОГІЧНІ ПЕРЕРОБНІ ТЕХНОЛОГІЇ"</t>
  </si>
  <si>
    <t>ТОВАРИСТВО З ОБМЕЖЕНОЮ ВІДПОВІДАЛЬНІСТЮ "ЕКОПЕЛ ІНЖИНІРИНГ"</t>
  </si>
  <si>
    <t>ТОВАРИСТВО З ОБМЕЖЕНОЮ ВІДПОВІДАЛЬНІСТЮ "ЕКОТЕПЛО ДРОГОБИЧ"</t>
  </si>
  <si>
    <t>ТОВАРИСТВО З ОБМЕЖЕНОЮ ВІДПОВІДАЛЬНІСТЮ "ЕЛПІС"</t>
  </si>
  <si>
    <t>ТОВАРИСТВО З ОБМЕЖЕНОЮ ВІДПОВІДАЛЬНІСТЮ "ЕПІЦЕНТР К"</t>
  </si>
  <si>
    <t>ТОВАРИСТВО З ОБМЕЖЕНОЮ ВІДПОВІДАЛЬНІСТЮ "КОМПАНІЯ "ЦЕНТР ЛТД"</t>
  </si>
  <si>
    <t>ТОВАРИСТВО З ОБМЕЖЕНОЮ ВІДПОВІДАЛЬНІСТЮ "ЛІВІН"</t>
  </si>
  <si>
    <t>ТОВАРИСТВО З ОБМЕЖЕНОЮ ВІДПОВІДАЛЬНІСТЮ "ЛОЇК І ПАРТНЕРИ"</t>
  </si>
  <si>
    <t>ТОВАРИСТВО З ОБМЕЖЕНОЮ ВІДПОВІДАЛЬНІСТЮ "ЛЬВІВГАЗ  ЗБУТ"</t>
  </si>
  <si>
    <t>ТОВАРИСТВО З ОБМЕЖЕНОЮ ВІДПОВІДАЛЬНІСТЮ "ЛЬВІВЕНЕРГОЗБУТ"</t>
  </si>
  <si>
    <t>ТОВАРИСТВО З ОБМЕЖЕНОЮ ВІДПОВІДАЛЬНІСТЮ "МІЖНАРОДНИЙ ЦЕНТР ФІНАНСОВО-ЕКОНОМІЧНОГО РОЗВИТКУ-УКРАЇНА"</t>
  </si>
  <si>
    <t>ТОВАРИСТВО З ОБМЕЖЕНОЮ ВІДПОВІДАЛЬНІСТЮ "МЕДИЧНИЙ ЦЕНТР "М.Т.К."</t>
  </si>
  <si>
    <t>ТОВАРИСТВО З ОБМЕЖЕНОЮ ВІДПОВІДАЛЬНІСТЮ "МЕДКОМПЛЕКС"</t>
  </si>
  <si>
    <t>ТОВАРИСТВО З ОБМЕЖЕНОЮ ВІДПОВІДАЛЬНІСТЮ "МЕДСЕРВІСГРУП"</t>
  </si>
  <si>
    <t>ТОВАРИСТВО З ОБМЕЖЕНОЮ ВІДПОВІДАЛЬНІСТЮ "НАУКОВО-ВИРОБНИЧЕ ПІДПРИЄМСТВО "УКРОРГСИНТЕЗ"</t>
  </si>
  <si>
    <t>ТОВАРИСТВО З ОБМЕЖЕНОЮ ВІДПОВІДАЛЬНІСТЮ "ОЛІМТЕКС"</t>
  </si>
  <si>
    <t>ТОВАРИСТВО З ОБМЕЖЕНОЮ ВІДПОВІДАЛЬНІСТЮ "ОЛІМТЕКС"( кінцевий бенефіціарний власник-БАЙРАК МАРІЯ МИХАЙЛІВНА, Україна, 69050, Запорізька обл., м.Запоріжжя, вул.Космічна,90)</t>
  </si>
  <si>
    <t>ТОВАРИСТВО З ОБМЕЖЕНОЮ ВІДПОВІДАЛЬНІСТЮ "ПАРК ТРЕЙДІНГ"</t>
  </si>
  <si>
    <t>ТОВАРИСТВО З ОБМЕЖЕНОЮ ВІДПОВІДАЛЬНІСТЮ "ПАРТНЕРИ МЕД"</t>
  </si>
  <si>
    <t>ТОВАРИСТВО З ОБМЕЖЕНОЮ ВІДПОВІДАЛЬНІСТЮ "ПЕРША ПРИВАТНА ЕКСПЕРТИЗА"</t>
  </si>
  <si>
    <t>ТОВАРИСТВО З ОБМЕЖЕНОЮ ВІДПОВІДАЛЬНІСТЮ "ПРОМО-МЕД"</t>
  </si>
  <si>
    <t>ТОВАРИСТВО З ОБМЕЖЕНОЮ ВІДПОВІДАЛЬНІСТЮ "РАДІО НЕТВОРК"</t>
  </si>
  <si>
    <t>ТОВАРИСТВО З ОБМЕЖЕНОЮ ВІДПОВІДАЛЬНІСТЮ "РАДНИК ЮА"</t>
  </si>
  <si>
    <t>ТОВАРИСТВО З ОБМЕЖЕНОЮ ВІДПОВІДАЛЬНІСТЮ "СКАЙ-ФАРМА"</t>
  </si>
  <si>
    <t>ТОВАРИСТВО З ОБМЕЖЕНОЮ ВІДПОВІДАЛЬНІСТЮ "СМАРТ-СТАРТ"</t>
  </si>
  <si>
    <t>ТОВАРИСТВО З ОБМЕЖЕНОЮ ВІДПОВІДАЛЬНІСТЮ "СПЕЦМОНТАЖ №426"</t>
  </si>
  <si>
    <t>ТОВАРИСТВО З ОБМЕЖЕНОЮ ВІДПОВІДАЛЬНІСТЮ "ТКО "КОМФОРТ-СЕРВІС"</t>
  </si>
  <si>
    <t>ТОВАРИСТВО З ОБМЕЖЕНОЮ ВІДПОВІДАЛЬНІСТЮ "УКРМЕДЛАБ"</t>
  </si>
  <si>
    <t>ТОВАРИСТВО З ОБМЕЖЕНОЮ ВІДПОВІДАЛЬНІСТЮ "ФАРМАСЕЛ"</t>
  </si>
  <si>
    <t>ТОВАРИСТВО З ОБМЕЖЕНОЮ ВІДПОВІДАЛЬНІСТЮ "Ю.Р.К."</t>
  </si>
  <si>
    <t>ТОВАРИСТВО З ОБМЕЖЕНОЮ ВІДПОВІДАЛЬНІСТЮ "Ю.Р.К." (кінцевий бенефіціарний власник-СВІТЛИК Р. Й., Україна, 79066, Львівська обл., м. Львів, вул.Сихівська, 9/26.</t>
  </si>
  <si>
    <t>ТОВАРИСТВО З ОБМЕЖЕНОЮ ВІДПОВІДАЛЬНІСТЮ "ЮНІА"</t>
  </si>
  <si>
    <t>ТОВАРИСТВО З ОБМЕЖЕНОЮ ВІДПОВІДАЛЬНІСТЮ ''ДЕЗОДАР''</t>
  </si>
  <si>
    <t>ТОВАРИСТВО З ОБМЕЖЕНОЮ ВІДПОВІДАЛЬНІСТЮ ''ДЕЗОДАР'' ( кінцевий бенефіціарний власник ДЯТЛОВ В. Б. 08292, Київська обл., мі.Буча(з), пров.Садовий, 13.)</t>
  </si>
  <si>
    <t>ТОВАРИСТВО З ОБМЕЖЕНОЮ ВІДПОВІДАЛЬНІСТЮ АГРОФІРМА "ВАТРА"</t>
  </si>
  <si>
    <t>ТРАЧ ІВАННА ВОЛОДИМИРІВНА</t>
  </si>
  <si>
    <t>ТРАЧ ВАСИЛЬ ВАСИЛЬОВИЧ</t>
  </si>
  <si>
    <t>Тест на виявлення Тропоніну І, (Код НК 024:2019-53998 - Тропонін Т / Тропонін I IVD, набір, імунохроматографічний аналіз (ІХА), експрес-тест; Тест для виявлення антитіл до ВІЛ 1/2 (HIV 1/2)  (Код НК 024:2019-30833 — Швидкий тестовий пристрій для ідентифікації вірусу 1,2 імунодефіциту людини; Тест для виявлення Гепатиту С (HCV) (Код НК 024:2019-30829 - Набір для якісного та / або кількісного визначення загальних антитіл до вірусу гепатиту С (Hepatitis C), експрес-аналіз; Тест для виявлення Гепатиту В (HBsAg) (Код НК 024:2019-30830 - Швидкий тестовий пристрій для ідентифікації поверхневого антигену вірусу гепатиту В (HBsAg); Тест д/визн. вагітн. Express test (Експрес тест) №1 (Код НК 024:2019-44325 - Набір для визначення специфічного білка-1 вагітності; Тест Cito Test H.Pylori-Transferrin для визначення антигену Хелікобактер Пілорі і трансферину в фекаліях (Код НК 024:2019-37727 - Комплект для виявлення кишкової палички</t>
  </si>
  <si>
    <t>Тест-смужки Rightest (Райтест) Elsa 50 шт. (НК 024:2019- 58168 Система контролю рівня глюкози в крові /кетонів ІВД для домашнього використання/ пункті догляду))</t>
  </si>
  <si>
    <t>ТзОВ "Елпіс"</t>
  </si>
  <si>
    <t>Тип процедури</t>
  </si>
  <si>
    <t>Товариство з обмеженою відповідальністю "КСЕНКО"</t>
  </si>
  <si>
    <t>Товариство з обмеженою відповідальністю "ТЕСТ-ТАЙМ"</t>
  </si>
  <si>
    <t>Товариство з обмеженою відповідальністю «ВЕСТ КАРД»</t>
  </si>
  <si>
    <t>УПРАВЛІННЯ ПОЛІЦІЇ ОХОРОНИ У ЛЬВІВСЬКІЙ ОБЛАСТІ</t>
  </si>
  <si>
    <t>Узагальнена назва закупівлі</t>
  </si>
  <si>
    <t>Умивальник Президент 55 з/о; ЧВ-сифон для умивальника WATER HAUSE, пластмасовий випуск, гнучка труба 40*50</t>
  </si>
  <si>
    <t>Ф-1068/778/21</t>
  </si>
  <si>
    <t>Ф-1110/843/21</t>
  </si>
  <si>
    <t>Ф-956/93/21</t>
  </si>
  <si>
    <t>Ф-972/165/21</t>
  </si>
  <si>
    <t>Ф-977/215/21</t>
  </si>
  <si>
    <t>ФІЗИЧНА ОСОБА-ПІДПРИЄМЕЦЬ КАЛАШНИК ОЛЕСЯ МИРОНІВНА</t>
  </si>
  <si>
    <t>ФІЛІЯ ДРОГОБИЦЬКА "МЕДТЕХНІКА"</t>
  </si>
  <si>
    <t xml:space="preserve">ФЕДЕКА ЮЛІЯ МИХАЙЛІВНА
</t>
  </si>
  <si>
    <t>ФОП АГАЄВ ПАВЛО ОЛЕКСАНДРОВИЧ</t>
  </si>
  <si>
    <t>ФОП Багінська І.В.</t>
  </si>
  <si>
    <t>ФОП ГОЛУБЦОВА ОЛЕКСАНДРА ВАСИЛІВНА</t>
  </si>
  <si>
    <t>ФОП Голобутовська Г.М.</t>
  </si>
  <si>
    <t>ФОП Гуцько Оксана Михайлівна</t>
  </si>
  <si>
    <t>ФОП Даньків Марія Василівна</t>
  </si>
  <si>
    <t>ФОП Дмитрович А.З.</t>
  </si>
  <si>
    <t>ФОП Дмитрович Андрій Зіновійович</t>
  </si>
  <si>
    <t>ФОП ЖУК ЮРІЙ ІВАНОВИЧ</t>
  </si>
  <si>
    <t>ФОП Жагаляк М І</t>
  </si>
  <si>
    <t>ФОП Жук Іван Костянтинович</t>
  </si>
  <si>
    <t>ФОП КОРОЛЬ ВЛАДИСЛАВ ІВАНОВИЧ</t>
  </si>
  <si>
    <t>ФОП Карпяк Ігор Іванович</t>
  </si>
  <si>
    <t>ФОП Летнянчин Григорій Васильович</t>
  </si>
  <si>
    <t>ФОП Полозюк Юрій Іванович</t>
  </si>
  <si>
    <t>ФОП Сенів Леся Євгенівна</t>
  </si>
  <si>
    <t>ФОП Соловйова Катерина Олександрівна</t>
  </si>
  <si>
    <t>ФОП ФЕДЕКА ЮРІЙ ІВАНОВИЧ</t>
  </si>
  <si>
    <t>Фармасулін Н р-н д/ін. 100МО/мл 10 мл №1; клексан р-н д/ін. 4000 МО, шприц 0,4 мл №10; еноксапарин р-н д/ін. 0,4г №1; бліцеф пор. д/інф. 1г №1</t>
  </si>
  <si>
    <t>Фрелсі р-н д/ін. 2,5 мг/0,5мл шприц №10; Фармасулін Н р-н д/ін 100МО/мл 10 мл №1; Гепарин р-н д/ін. 500МО/мл 5мл №5</t>
  </si>
  <si>
    <t>Фурацилін табл. 20 мг №20; Фармадипін кр. 25 мл; Тазпен пор. д/р-ну д/ін. та інф. 4г/0,5г №1; Супрастин р-н д/ін. 20 мг 1 мл №5; Сульфокамфокаїн р-н д/ін. 10% 2 мл №10; Стерофундин ISO р-н д/інф. 500 мл №10; Платифілін р-н д/ін. 2мг/мл 1 мл №10; Плазмовен р-н 500 мл; Перекис водню р-н 3% 40 мл; Папаверин р-н д/ін. 20мг/мл 2 мл №10; Пангастро пор. 40 мг №5; Но-шпа р-н д/ін. 40 мг 2 мл №25; Мурашиний спирт р-н 50 мл; Мікролакс р-н рект. 5 мл №4; Мезатон 1% 1 мл №10; Мезатон кр.очні 2,5% 5 мл; Люголя р-н з гліцерином 25 мл; Лідокаїн аер. 10% 38 г; Левоміцетин кр.очні 0,25% 10 мл; Кордіамін р-н д/ін. 2 мл №10; Корглікон р-н д/ін. 0,06% 1,0 №10; Корвалмент капс. 0,1 г №30; Кокарбоксилаза ліоф. д/п ін. р-ну 0,05 г 2 мл №10; Ізо-мік р-н д/інф. 0,1% 10 мл №10; Ізіклін конц. д/ор.р-ну 176 мл №2; Еуфілін р-н д/ін. 2% 5 мл №10; Алмірал р-н д/ін 75 мг 3 мл №10; Дофамін конц. д/п інф. р-ну 4% 5 мл №10; Димедрол р-н д/ін. 1% 1 мл №10; Диклофенак натрію р-н д/ін. 2,5% 3 мл №5; Диклодев р-н д/ін. 2,5% 3 мл №5; Дибазол р-н д/ін. 1% 5 мл №10; Глюкоза р-н д/інф. 40% 20 мл №10; Гідрокортизон р-н д/ін. 2,5% 2 мл №10 -t°; Гідазепам ІС табл. 0,02 №20; Вікасол-Д р-н д/ін. 1% 1 мл №10-t°; Верошпірон капс. 50 мг №30; Верапаміл р-н д/ін. 0,25% 2 мл №10; Ванкоміцин-Фармекс ліоф. д/п інф. р-ну 1000 мг №1; Бісопрол табл. 5 мг №50; Бензогексоній р-н д/ін. 2,5% 1 мл №10; Аспаркам р-н д/ін. 5 мл №10; Аскорбінова к-та р-н д/ін. 10% 2 мл №10; Анальгін-Дарниця р-н д/ін. 50% 2 мл №10; Амінокапронова к-та 5% 100 мл; Аміназин р-н 2,5% 2 мл №10; Аміаку р-н 10% 40 мл; Алкаін кр.очні 0,5% 15 мл -t°; Аерофілін табл. 400 мг №20; L-лізину есцинат р-н д/ін. 0,1% 5 мл №10</t>
  </si>
  <si>
    <t>ХАРКІВСЬКА МЕДИЧНА АКАДЕМІЯ ПІСЛЯДИПЛОМНОЇ ОСВІТИ</t>
  </si>
  <si>
    <t>ХОМ'ЯК ЛЮБОМИР МИРОСЛАВОВИЧ</t>
  </si>
  <si>
    <t>Цефтріаксон-КМПпор. д/п р-ну 1 г №10; Фуросемід р-н д/ін 1% 2 мл №10; Спирт етиловий р-н 96% 100 мл; Спирт етиловий р-н 70% 100 мл; Рафт р-н д/ін. 4 мг 1 мл №10; Муколван р-н д/ін. 0,75% 2 мл №5; Метоклопрамід р-н д/ін. 0,5% 2 мл №10; Медоклав пор. д/п ін. р-ну фл. 1,2г №10; Медаксон пор. 1 г №10; Магнію сульфат р-н д/ін. 25% 5 мл №10; Левопро р-н д/інф 500 мг 150 мл №1; Левопро р-н д/інф 500 мг 100 мл №1; Кальцію глюконат р-н д/ін. 10% 5 мл №10; Євроцефтаз пор. д/п ін. р-ну 1000-125 мг №1; Єврозидим пор. д/п р-ну д/інг 1 г №10; Дексаметазону фосфат р-н д/ін. 0,4% 1 мл №10; Гепацеф пор. д/п ін. р-ну 1 г №10; Вомікайнд р-н д/ін 2 мг/мл 4 мл №4; Вомікайнд р-н д/ін 2 мг/мл 2 мл №4; Амоксиклав пор. д/п р-ну 1200 мг №5</t>
  </si>
  <si>
    <t>ЧЕПЕЛЯК ВАСИЛЬ ЯРОСЛАВОВИЧ</t>
  </si>
  <si>
    <t>ШК000262/62/21</t>
  </si>
  <si>
    <t>Шприц  3-х компонентний , 2мл.  ; Шприц  3-х компонентний , 5 мл.  ; Шприц  3-х компонентний , 10 мл. ; Шприц  3-х компонентний,  20 мл. ; Шприц інсуліновий   1,0 мл., U-100, Луер, зі зйомною голкою 30G (0,30 х 13 мм.); Шприц 3-х компонентний одноразовий стерильний 200 мл Catheter Tip з голкою, 14G (2,0x30); Канюля внутрішньовенна, розмір   18G, ; Канюля внутрішньовенна, розмір   22G; Канюля внутрішньовенна, розмір   24G; Перфузійний пристрій "Метелик", розмір 23G ; Маска киснева для дорослих ; Рукавички  нітрилові, розмір S; Рукавички  нітрилові, розмір M; Рукавички  нітрилові, розмір L; Захисний лицьовий щиток; Маска киснева (для дорослих, з конектором типу «Venturi»), регульований</t>
  </si>
  <si>
    <t>ЯРОЦЬКА ДІАНА МИРОСЛАВІВНА</t>
  </si>
  <si>
    <t>Якщо ви маєте пропозицію чи побажання щодо покращення цього звіту, напишіть нам, будь ласка:</t>
  </si>
  <si>
    <t>абипим пор. д/п р-ну 1000 мг №1; емсеф пор. д/п ін. р-ну 1000 мг</t>
  </si>
  <si>
    <t>адреналін-Дарниця р-н д/ін, 1,8 мг/мл амп.1 мл, контурн. чарунк., уп., пачка №10; амоксил-К, пор. д/п ін. р-ну 1,2 г фл. №1; гепарин-Фармекс р-н д/ін. 5000 МО/мл фл. 5 мл №5; дексаметазону фосфат р-н д/ін. 4 мг/мл амп. 1 мл, пачка №10; хлоргексидин-Віола р-н д/зовн. застос. 0,05% фл. 200 мл №1; фуросемід-Дарниця р-н д/ін. 10 мг/мл амп 2 мл, контурн. чарунк. уп., пачка №10; спирт етиловий 70% р-н 70% фл. скляний 100 мл №1; спирт етиловий 96% р-н 96% фл. скляний 100 мл №1; метронідазол-Дарниця р-н д/інф. 5 мг/мл фл. 100 мл №1; метоклопрамід-Дарниця р-н д/ін. 5 мг/мл амп. 2 мл контурн. чарунк. уп., пачка №10; натрію хлорид-Дарниця р-н д/інф. 9 мг/мл фл. 100 мл №1; магнію сульфат-Дарниця р-н д/ін. 250 мг/мл амп. 5 мл, контурн. чарунк.уп. №10; кордарон р-н д/ін. 150 мг амп. 3 мл №6; кальцію глюконат-Дарниця (стабілізований) р-н д/ін. 100 мг/мл амп. 10 мл контурн. чарунк. уп., пачка №10</t>
  </si>
  <si>
    <t>адреналін-Дарниця р-н д/ін. 1,8 мг/мл амп. 1мл, контурн. чарунк. уп., пачка №10; атропін-Дарниця р-н  р-н д/ін. 1 мг/мл амп. 1мл, контурн. чарунк. уп., пачка №10; натрію аденозинтрифосфат-Дарниця р-н д/ін. 10 мг/мл амп. 1мл, контурн. чарунк. уп., пачка №10;  гепарин-Фармекс р-н д/ін. 5000 МО/мл фл. 5 мл №5; дексаметазон-Дарниця р-н д/ін. 4мг/мл амп. 1 мл №5; кордарон р-н д/ін. 150 мг амп. 3 мл. №6; левопро р-н д/інф. 500 мг/100 мл контейнер 100мл в пакеті п/е у коробці №1; левопро р-н д/інф. 500 мг/100 мл контейнер 150мл в пакеті п/е у коробці №1; магнію сульфат-Дарниця р-н д/ін 250 мг/мл амп. 5 мл, контурн. чарунк. уп. №10; європенем пор. д/п ін. р-ну 1г фл. №10; метронідазол-Дарниця р-н д/інф. 5 мг/ мл фл. 100 мл №1; муколван р-н д/ін. 7,5 мг/мл амп. 2 мл в пачці №5; медаксон пор. д/п ін. р-ну 1г фл. №10; медоклав пор. д/п р-ну д/ін. та инф. 1000 мг+200мг фл. №10;  фармасулін Н р-н д/ін. 100 МО/мл фл. 10мл №1; фуросемід-Дарниця р-н д/ін. 10 мг/мл амп. 2мл, контурн. чарунк. уп. пачка №10; натрію хлорид-Дарниця р-н д/інф. 9 мг/мл фл. 100 мл №1</t>
  </si>
  <si>
    <t>амоксил-К пор. д/п р-ну 1,2 г фл. №1; гепарин-Фармекс р-н д/ін. 5000 МО/мл фл. 5 мл №5; гепацеф пор. д/р-ну д/ін. 1 г, фл. контурн. чарунк. уп., пачка №10; гепацеф-Комбі пор. д/р-ну д/ін. 1 г+1 г фл. №1; дексаметазону фосфат р-н д/ін. 4 мг/мл амп. 1 мл, в пачці №10; кальцію глюконат стабілізований р-н д/ін. 100 мг/мл амп 5 мл, блістер №10; кордарон р-н д/ін 150 мг амп. 3 мл №6; магнію сульфат-Дарниця р-н д/ін. 250 мг/мл амп. 5 мл, контурінг. чарунк уп. №10; метрогіл р-н д/інф. 500 мг фл. 100 мл №1; метоклопрамід-Дарниця р-н д/ін. 5 мг/мл амп. 2 мл, контурінг. чакунк, уп., пачка №10; муколван р-н д/ін. 7,5 мг/мл амп. 2 мл., в пачці №5; преднізолон р-н д/ін. 30 мг/мл амп. 1 мл у блістері у пачці №5; фармасулін-Н р-н д/ін. 100 МО/мл фл. 10 №1; фуросемід-Дарниця р-н д/ін 10 мг/мл амп. 2 мл, котурінг. чарунк. уп., пачка №10</t>
  </si>
  <si>
    <t>атракуріум 10 мг/мл 2,5 №5; атракуріум 10 мг/мл 5,0 №5</t>
  </si>
  <si>
    <t>бальзам для сухої шкіри "Сенсіва" 500 мл;  бальзам для сухої шкіри "Сенсіва" 500 мл з дозатором</t>
  </si>
  <si>
    <t>бензин А-95; бензин А-92; дизельне паливо</t>
  </si>
  <si>
    <t>бодедекс форте, 5л; бодедекс форте, 5л; корзолекс екстра (BODE), 2л</t>
  </si>
  <si>
    <t>браксон р-н 40 мг/мл 2 мл; реосорбілакт р-н 200 мл</t>
  </si>
  <si>
    <t>бренем 1000 порошок для розчину для ін'єкцій, по 1000 мг по 1 фл у картонній коробці; метронідазол розчин для інфузій 0,5% по 100 мл у контейнері; цефтріаксон Ананта порошок для розчину для ін'єкцій ро 2г у флаконах №1; медацет-1000 порошок для розчину для ін'єкцій по 1000 мг, по 1фл. у картонній упаковці; цефотаксим порошок для розчину для ін'єкцій 1,0 №1; дексаметазон розчин для ін'єкцій, 4 мг/мл по 1 мл в ампулі; по 5 ампул в пачці з картону; санпім-1000 порошок для розчину для ін'єкцій, по 1000 мг по 1 фл. в картонній упаковці; флуконазол розчин для інфузій, 200 мг/100 мл ро 100 мл в контейнері №1</t>
  </si>
  <si>
    <t>буряк; морква; цибуля; капуста</t>
  </si>
  <si>
    <t>біблок р-н для інфузій,10 мг/мл, по 50мл в пакетах №1; браксон р-н 40мг/мл 2 мл ампули №10; реосорбілакт р-н 200мл</t>
  </si>
  <si>
    <t>вата медична гігроскопічна гігієнічна нестерильна ТМ "Юрія-Фарм", зигзагоподібна стрічка, 100 г; серветка "Волес" із нетканого матеріалу просочена 70% ізопропіловим спиртовим розчином, 30*60 мм №100</t>
  </si>
  <si>
    <t>визначення температури повітря; визначення вологості повітря; визначення рівня освітленості; визначення загального мікробного числа у воді; визначення коліформних бактерій у воді, або ЛКП у воді; визначення швидкості руху повітря; виявлення ентерококків у визначеній кількості зразка в харчових продуктах та ін. об'єктів життєдіяльності людини</t>
  </si>
  <si>
    <t>гель для УЗД Eco Supergel 1000 мл; гель для ЕКГ та УЗД 250 мл; гель для УЗД 5л</t>
  </si>
  <si>
    <t>гречка; рис; ячмінна; манна; вівсяні пластівці; пшоно; перлова; борошно в/г</t>
  </si>
  <si>
    <t>грунтовка "Церезіт", 5кг, грунтовка маскувальна, 15кг, грунтовка універсальна, 10л, шпаклівка Акрил-путц, 20кг, шпаклівка Альба-стартова, 30кг, шпаклівка Кнауф-старт. 30кг,  шпаклівка Кнауф-фініш,25 кг</t>
  </si>
  <si>
    <t>гіпсокартон Т.135; підвіс до гіпсокартону</t>
  </si>
  <si>
    <t>дексаметазон-Дарниця р-н д/ін. 4 мг/мл амп. 1 мл. №5; фармасулін Н р-н д/ін 100 МО/мл фл. 10 мл №1</t>
  </si>
  <si>
    <t>дексаметазон-Дарниця р-н д/ін. 4мг/мл 1 мл №10; спирт етиловий р-н 69% 100мл</t>
  </si>
  <si>
    <t>диски-Офлоксацин,№100 ; диски-Цефтріаксон №100 30мкг; диски-Цефотаксим №100, 30мкг; диски-Ністатин №100; диски-Клотрімазол; диски-Нітрофурантоїн №100 300мкг,; диски-Оптохін; диски-Бацитрацин; плазма кроляча цитратна суха, 10амп.*1мл; сорбіт харчовий; дульцит, чда; С-ще Селенітове Лейфсона; С-ще Тіогліколеве; С-ще Плоскірєва (Бактоагар); С-ще Лактобакагар; С-ще Біфідум (Блаурок); Ентеротест 24,Lachema; цоліклон (тест) анти-А, 100доз; цоліклон (тест) анти-В, 100доз; цоліклон (тест) анти-D супер; стрептолізин-О (АСЛО) латекс-тест-200; с-ка С-реактивний білок (СРБ) латекс-тест-200; глюкоФАН, смужки №50,Lachema; набір глюкоза; пл. пробірка мікро Еппендорф 0,5мл; наконечник 2-200мкг, жовтий 1000 шт; наконечник 100-1000мкг, уп./500шт (сині); С-ще Менінгоагар 100гр)</t>
  </si>
  <si>
    <t>експрес-тест для виявлення антигенів коронавірусу SARS-Cov-2 "COVID-19 Ag test"</t>
  </si>
  <si>
    <t>еноксапарин р-н 0,4 №1; європенем пор д/п ін. р-ну 1г №10; емсеф пор. д/п ін. р-ну 1000 мг фл. №1; фрелсі р-н д/ін. 2,5мг/0,5мл шприц №10; абипим пор. д/п ін. р-ну 1000 мг №1</t>
  </si>
  <si>
    <t>журнал камерного знезараження речей; плівка з друком; журнал з реєстрації амбулаторних пацієнтів; журнал запису рентгендосліджень магніторезонансних досліджень</t>
  </si>
  <si>
    <t>журнал обліку прийому хворих у стаціонар 100ст, офсет звичайна обкл; журнал обліку консультацій 50ст.,офсет, звичайна обкладинка</t>
  </si>
  <si>
    <t>журнал реєстрації біохімічних аналізів і їх результатів А4, дв. о 200 л; журнал реєстрації  аналізів коаулограм А4 дв. о, 200л</t>
  </si>
  <si>
    <t>закритий</t>
  </si>
  <si>
    <t>замок навісний; серцевина дверна; серцевина імперіал 70 мм 35/35 С-РВ к-к-лазар 5 кл. золото</t>
  </si>
  <si>
    <t>засіб дезінфекційний "КвікДес" (вологі серветки) 100 шт з клапаном; засіб дезінфекційний "БактеріоДез софт" К/5000 мл</t>
  </si>
  <si>
    <t>засіб дезінфекційний "КвікДес" (вологі серветки) 100 шт з клапаном; засіб дезінфекційний "БактеріоДез софт" К/5000 мл)</t>
  </si>
  <si>
    <t>засіб дезінфекційний "КвікДес" (вологі серветки) 100 шт з клапаном; засіб дезінфекційний "БактеріоДез софт" К/5000 мл; засіб дезінфекційний "ДезТАБ" 1 кг</t>
  </si>
  <si>
    <t>засіб дезінфекційний "КвікДес" (вологі серветки) 100 шт. з клапаном; засіб дезінфекційний  "СефДез софт"К/500мл; засіб дезінфекційний  ДезТАБ нью гранули з мірною ложкою 1кг</t>
  </si>
  <si>
    <t>засіб дезінфекційний "КвікДес" (вологі серветки) 100 шт. з клапаном; засіб дезінфекційний "СефДез софт"К/500мл</t>
  </si>
  <si>
    <t>засіб дезінфекційний "КвікДес" (вологі серветки) 100шт з клапаном; засіб дезінфекційний "БактеріозДезнью", 5л,; засіб дезінфекційний "БактеріозДезсофт" К/5000 мл</t>
  </si>
  <si>
    <t>засіб дезінфекційний "КвікДес" (вологі серветки) 100шт з клапаном; засіб дезінфекційний "БактеріозДезнью", 5л; засіб дезінфекційний "БактеріозДезсофт" К/5000 мл</t>
  </si>
  <si>
    <t>засіб дезінфекційний "КвікДес" (вологі серветки) 100шт з клапаном; засіб дезінфекційний "СефДез софт" К/5000 мл; засіб дезінфекційний "Квартацид хлор актив" 1 кг</t>
  </si>
  <si>
    <t>засіб дезінфекційний ARMAXIL D1 (рідкий), 1 л; засіб дезінфекційний ARMAXIL D1 (рідкий), 5 л</t>
  </si>
  <si>
    <t>засіб дезінфікуючий "Бланідас 300К (Blanidas 300)" в таблетках (по 300 шт); Бланідас Софт Зет 5л</t>
  </si>
  <si>
    <t>засіб дезінфікуючий "Бланідас 300К (Blanidas 300)" в таблетках (по 300 шт); Бланідас Софт Зет 5л)</t>
  </si>
  <si>
    <t>захисний лицьовий щиток; маска медична №1; півсмаска фвльтрувальна БУК-КЗFFP3 NR</t>
  </si>
  <si>
    <t>захисний лицьовий щиток; півмаска фільтрувальна БУК-К3 FFP3 NR</t>
  </si>
  <si>
    <t>кабель оптичний ОКТ-Д (1)П-1Е 1 210 м; кабель оптичний ОКТ-Д (1)П-1Е 1 200 м; SFP модуль FOXGATE SFP-1SM-1310 nm-3SC; SFP модуль FOXGATE SFP-1SM-1550 nm-3SC; комутатор TP-Link T2600G-28TS; точка доступу Ubiquiti UniFi AP AC Lite; ББЖ АРС Back-UPS 650V A; антивандальна шафа Vagos 3U-1,5; кабель мережевий внутрішній мідь 220м; кабель оптичний ОКТ-Д (1)П-1Е1 100м; медіаперетворювач під SFP модуль</t>
  </si>
  <si>
    <t>калькулятор CITIZEN D-312( 1201-BK; калькулятор BRILLIANT BS-222</t>
  </si>
  <si>
    <t>капуста; картопля; буряк; цибуля; морква</t>
  </si>
  <si>
    <t>картридж CANON 737 ColorWay; картридж Kyocera TK-1110,; картридж Patron 725; картридж HP (CF244X)ColorWay)</t>
  </si>
  <si>
    <t>катетер (канюля) в/в G22; катетер (канюля) в/в типу "метелик" 23G одноразового використання</t>
  </si>
  <si>
    <t>киснева маска EcoLete з кисневою трубкою 1181015; маска медична №1; півмаска фільтрувальна БУК-КЗ FFP3 NR</t>
  </si>
  <si>
    <t>клавіатура FrimeCom FC-501 Black USB; мережевий фільтр 1,8м Gembird 5 розеток, чорний; миша Gembird USB; USB Flash drive Kingston Exodia 32 GB</t>
  </si>
  <si>
    <t>клей "Церезіт", 5 кг;  клей до гіпсокартону, 15кг</t>
  </si>
  <si>
    <t>клексан р-н д/ін. 4000 МО шприц 0,4 мл №10; еноксапарин д/ін. 0,4 г №1</t>
  </si>
  <si>
    <t>клексан р-н д/ін. 8000 МО шприц 0,8 мл №2; еноксапарин р-н д/ін. 0,4г №1</t>
  </si>
  <si>
    <t>клексан р-н д/ін. 8000 МО шприц 0,8 мл №2; клексан р-н д/ін. 4000 МО шприц 0,4 мл №10; арікстра р-н д/ін 2,5 мг/0,5мл №10</t>
  </si>
  <si>
    <t>контейнер для медвідходів, 11л; контейнер для медвідходів, 3л; контейнер для медвідходів, 5л; контейнер для знезараження 3л</t>
  </si>
  <si>
    <t>корглікон р-н д/ін. 0,6 мг/мл амп. 1 мл пачка №10; кордіамін-Дарниця р-н д/ін 250 мг/мл амп.2 мл, контурн. чарунк. уп., пачка №10; еуфілін-Дарниця р-н д/ін. 20 мг/мл амп. 5 мл №10; димедрол-Дарниця р-н д/ін. 10 мг/мл амп. 1 мл, контурн. чарунк. уп., пачка №10; кофеїн-бензоат натрію-Дарниця р-н д/ін. 100 мг/мл амп.1,контурн. чарунк. уп., пачка №10;  дратаверин-Дарниця р-н д/ін. 20 мг/мл амп. 2 мл, контурн. чарунк. уп., пачка №5; супрастин р-н д/ін. 20 мг амп. 1 мл №5; папаверин-Дарниця р-н д/ін. 20 мг/мл амп. 2 мл, контурн. чарунк. уп., пачка №10; дибазол-Дарниця р-н д/ін. 10 мг/мл амп. 1 мл,контурн. чарунк. уп., пачка №10; платифілін-Дарниця р-н д/ін. 2 мг/мл амп. 1 мл,контурн. чарунк. уп., пачка №10; мезатон р-н д/ін. 10 мг/мл амп. 1 мл, блістер у пачці №10; рибоксин-Дарниця р-н д/ін. 20 мг/мл амп. 5 мл №10; аспаркам р-н д/ін. амп. 5 мл, блістер у пачці №10</t>
  </si>
  <si>
    <t>костюм біологічного захисту/комбінезон з бахілами; халат ізоляційний медичний одноразовий з бахілами; шапочка медична одноразова</t>
  </si>
  <si>
    <t>креатинін 60; голюкоза СР R1:1*500 мл</t>
  </si>
  <si>
    <t>крейда 5 кг; вапно гашене 10 кг</t>
  </si>
  <si>
    <t>крупа ячмінна; пшоно</t>
  </si>
  <si>
    <t>крупа ячмінна; пшоно; горох жовтий</t>
  </si>
  <si>
    <t>кріопробірка "Волес" 2 мл стерильна з зовнішньою гвинтовою кришкою №100; ємність для збору сечі 60 мл нестерильна; катетер для ін'єкцій типу "метелик" 23 G однораз. використання; катетер (канюля) в/в з ін'єкц. портом 22 G стерильний; система для в/в вливань</t>
  </si>
  <si>
    <t>крісло сорбційне ВР; стілець донорський СД-2</t>
  </si>
  <si>
    <t>лазолекс р-н для ін'єкцій 7,5мг/мл 2 мл №5; левоцин-Н р-н для інфузій 500 мг/100мл 150 мл</t>
  </si>
  <si>
    <t>лазолекс, р-н д/ін. 7,5мг/мл 2 мл №5; левоцин-Н р-н д/інф, 500 мг/100мл 150 мл</t>
  </si>
  <si>
    <t>левопро р-н д/інф. 500 мг 150 мл №1; левасепт р-н д/інф. 500 мг/100 мл; клексан р-н д/ін. 400 МО шприц 0,4 мл №10; євроцефтаз пор. д/п ін. р-ну 1000+125 мг №1; європенем пор. д/п ін. р-ну 1 г №10; єврозидим пор. д/п р-ну д/інг. 1 г №10; екстенцеф пор. д/п ін. р-ну 1000 мг фл №1; демопенем пор. д/п ін. р-ну 10001 мг №1; вомікайнд р-н д/ін 2 мг/мл 4 мл №4; бліцеф пор. д/інф. 1 г №10</t>
  </si>
  <si>
    <t>левопро р-н д/інф. 500 мг 150 мл №1; левопро р-н д/інф. 500 мг 100 мл №1; євроцефтаз пор. д/п ін. р-ну 1000+125 мг №1; європенем пор. д/п ін. р-ну 1г №10; європенем пор. д/п ін. р-ну 500мг №10; єврозидим пор. д/п р-ну д/інг. 1г №10; екстенцеф пор. д/п ін. р-ну 1000 мг фл. №1; вомікайнд р-н 2 мг/мл 4 мл №4; вомікайнд р-н 2 мг/мл 2 мл №4; бліцеф пор. д/інф 1г №10</t>
  </si>
  <si>
    <t>левопро р-н д/інф. 500 мг 150 мл№1; левопро р-н д/інф. 500 мг 100 мл№1; європенем пор. д/п ін. р-ну 1г №10; єврозидим пор. д/п р-ну д/інг. 1г №10</t>
  </si>
  <si>
    <t>левофлоксацин р-н д/інф. 0,5% пляш. 100мл №1; натрію хлорид р-н д/інф. 0,9% пляш. 100 мл №1)</t>
  </si>
  <si>
    <t>левофлоксацин-Віста, розчин для інф. по 5мг/мл по 100 мл в контейнері в захисному пакеті; меробак порошок для принотування розчину для ін'єкцій по 1000 мг у флаконах</t>
  </si>
  <si>
    <t>лінолеум 3 м; лінолеум 3,5 м</t>
  </si>
  <si>
    <t>ліхтарик; настільна лампа HK-5568 голуба</t>
  </si>
  <si>
    <t>м'ясо свинини, філе куряче; філе куряче; м'ясо свійської птиці свіже, охолоджене (тушки курей)</t>
  </si>
  <si>
    <t>маска киснева EcoLete для дорослих, для забезпечення високої концентрації кисню; бульбашковий зволожувач Intersurgical Aquflow з ємністю; кисневий з'єднувач, подвійна зовнішня різьба</t>
  </si>
  <si>
    <t>маска киснева EcoLite для дорослих, для забезпечення високої концентрації кисню; бульбашковий зволожувач Intersurgical Aquflow з ємністю; кисневий з'єднувач, подвійна зовнішня різьба</t>
  </si>
  <si>
    <t>маска киснева RcoLite для дорослих, для забезпечення високої концентрації кисню з кисневою трубкою; бульбашковий зволожувач Intersurgical Aquflow з ємністю; кисневий з'єднувач, подвійна зовнішня різьба; маска киснева Eco з кисневою трубкою 2,1м; напалечний пульсоксиметр MD 300C19; система для в/в вливань ПР; мішок пластиковий санітарний МПС-2005)</t>
  </si>
  <si>
    <t>маска медична №1; півмаска фільтрувальна БУК-КЗ FFP3 NR; захисний лицьовий щиток</t>
  </si>
  <si>
    <t>медаксон пор. д/п ін. р-ну 1 г фл. №10; медоклав пор. д/п р-ну д/ін. та инф. 1000 мг+200 мг фл. №10</t>
  </si>
  <si>
    <t>медацет-1000, порошок для розчину для ін. по 1000 мг у флаконі №1; санаксон-2000, порошок для розчину для ін. по 2000 мг у флаконі №1</t>
  </si>
  <si>
    <t>медичні бланки форми 122/о; особисті медичні книжки</t>
  </si>
  <si>
    <t>меропенем-Віста, порошок для приготування розчину для ін'єкцій по 1000 мг у флаконах; меробак, порошок для приготування розчину для ін'єкцій по 1000 мг; 10 флаконів з порошком з маркуванням укр. мовою у картопляній коробці; цефтриаксон-Віста порошок для розчину для ін'єкцій по 1г у флаконі; левофлоксацин-Віста, розчин для інф. по 5мг/мл по 10 мл в контейнері в захисному пакеті</t>
  </si>
  <si>
    <t>меропенем-Віста, порощок для приготування розчину для ін. по 1000 мг у флаконах; меробак, пор. для приготування розчину для ін. по 1000 мг; 10 флак. з порошком з маркуванням укр. мовою у картонній коробці; цефтриаксон-Віста, пор. для розчину для ін. по 1г у флаконі</t>
  </si>
  <si>
    <t>мийка врізна з нержавіючої сталі  780*480*180 одинарна 0,8 мм; мийка врізна з нержавіючої сталі 770*500*180 овал 0,6 мм; змішувач QT Eria Bla 002 кухня</t>
  </si>
  <si>
    <t>мобільна стійка кріплення дозатора антисептика для рук; дозатор автоматичний для дезінфікуючого засобу F 1409-S; піддон для крапель для дозатора (drip tray)</t>
  </si>
  <si>
    <t>монітор пацієнта BM800А (з сенсорним екраном); насос шрицевий "Біомед" М200А</t>
  </si>
  <si>
    <t>морква; буряк; цибуля; капуста</t>
  </si>
  <si>
    <t>муколван р-н д/ін. 7,5 мг/мл амп. 2 мл, в пачці №5; цефопектам пор. д/р-ну д/ін. 1г+1г фл. №1</t>
  </si>
  <si>
    <t>мікрохвильова піч GRUNHELM 20MX; електрочайник GRUNHELM EKS-2018 1,8л; водонагрівач Round 50л</t>
  </si>
  <si>
    <t>мішки для сміття Чіко 120*10; мішки для сміття Чисто 35*30</t>
  </si>
  <si>
    <t>м’ясо свинини; філе куряче; м’ясо свійської птиці свіже, охолоджене (тушки курей)</t>
  </si>
  <si>
    <t>набір для ІФА DIA-SARS-CoV-2-NP-LgM T1-12 T1-26M01C, 96(8*12); набір для ІФА DIA-SARS-CoV-2-NP-LgG T1-12 T1-26G01C, 192(8*12*2)</t>
  </si>
  <si>
    <t>натрію аденозинтрифосфат-Дарниця р-н д/ін 10 мг/мл амп. 1 мл, контурн. чарунк. уп., пачка №10; амоксил-К пор. д/п ін. р-ну 1,2г фл. №1; гепарин-Фармекс р-н д/ін 5000 МО/мл фл. 5 мл №5; дексаметазон-Дарниця р-н д/ін. 4 мг/мл амп. 1 мл №5; дексаметазону фосфат р-н д/ін 4 мг/мл амп. 1 мл, в пачці №10; преднідозол-Дарниця р-н д/ін. 30 мг/мл 1 мл, контурн. чарунк. уп., пачка №5;  кордарон р-н д/ін. 150 мг амп.3 мл. №6; магнію сульфат-Дарниця р-н д/ін. 250 мг/мл амп. 5 мл, контурн. чарунк. уп., пачка №10; меропенем-Віста пор. д/ру д/ін. 1000 мг. фл. №10; європенем пор. д/п ін. р-ну 1г фл. №10; метоклопрамід -Дарниця р-н д/ін 5 мг/мл амп. 2 мл, контурн. чарунк. уп., пачка №10; муколван р-н д/ін. 7,5 мг/мл амп. 2 мл, в пачці №5; медаксон пор. д/п ін. р-ну 1 г фл. №10; медоклав пор. д/п р-ну д/ін. та інф. 1000 мг+200 мг. фл. №10; парацетамол-Дарниця табл. 500 мг контурн. чарунк. уп., пачка №10; фуросемід-Дарниця р-н д/ін. 10 мг/мл 2 мл, контурн. чарунк. уп., пачка №10; хлоргексидин р-н д/зовн. застос. 0,05% фл. 100 мл №1; флуконазол-Дарниця р-н д/інф. 2 мг/мл фл. 100 мл №1</t>
  </si>
  <si>
    <t>натрію хлорид р-н 0,9% 200 мл ; рінгер лактатний р-н 200мл; Рінгера р-н 200 мл</t>
  </si>
  <si>
    <t>натрію хлорид р-н 0,9% 200 мл; рінгер лактатний р-н 200 мл; глюкоза р-н 5% 200 мл</t>
  </si>
  <si>
    <t>натрію хлорид р-н 0,9% 200мл; Рінгера р-н 200мл; Рінгер лактатний р-н 200мл; глюкоза р-н 200 мл</t>
  </si>
  <si>
    <t>натрію хлорид, р-н д/інф. 0,9% по 100 мл у контейнері; глюкоза, р-н д/інф. 5% по 200 мл у контейнері; глюкоза, р-н д/інф. 10% по 200 мл у контейнері;  лєвофлоксацин, р-н для інфузій, 500 мл/100 мл по 100 мл у контейнері;  моксимак, р-н д/інф. 400 мл/250 мл по 250 мл у контейнері; натрію хлорид, р-н д/інф. 0,9% по 200 мл у контейнері; Рінгера розчин, р-н д/інф. по 500 мл в контейнерах</t>
  </si>
  <si>
    <t>оменакс пор. д/ін 40 мг; еноксапарин р-н д/ін. 0,4г №1; демопенем пор. д/ін. р-ну 1000 мг №1; арікстра р-н д/п 2,5 мг/0,5 мл №10</t>
  </si>
  <si>
    <t>омепразол 20 Ананта капсули по 20 мг; по 10 капсул у блістері; по 10 блістерів у пачці; омепразол-Вокате ліофілізат для розчину для ін'єкцій по 40г у флаконах №1 у комплекті з розчинником по 10 мл в ампулах №1; бренем 1000 порошок для розчину для ін'єкцій по 1000 мг по 1 флакону у картонній коробці; левофлоксацин євро розчин для інфузій, 500 мг/100мл по 100 мл у контейнері з полівінілхлориду; по 1 контейнеру в поліетиленовому пакеті в картонній упаковці, ; санпім-1000 порошок для розчину для ін'єкцій, по 1000 мг по 1 флакону у картонній упаковці; цефотаксим порошок для розчину для ін'єкцій 1,0 №1</t>
  </si>
  <si>
    <t>папір туалетний; зетка біла; рушник зетка</t>
  </si>
  <si>
    <t>парамол р-н для інф. 1000мг/100мл, по 100 мл в контейнері з поліпропілену; левофлоксацин р-н для інф. 500мл/100мл, по 100 мл у контейнері; натрію хлорид р-н для інф. 0,9% по 200 мл в контейнері з поліпропілену; натрію хлорид р-н для інф. 0,9% по 100 мл в контейнері з поліпропілену; Рінгера р-н, р-н для інф. по 500 мл в контейнерах</t>
  </si>
  <si>
    <t>пеленальний стіл; тумба пуф</t>
  </si>
  <si>
    <t>пеленки гігієнічні поглинаючі 60 см*90 см №30; підгузники д/д Айді Сліп Плюс p XL</t>
  </si>
  <si>
    <t>пелюшки д/немовлят Tena Bed Plus 60*90 см №30; пелюшки д/немовлят Tena Bed Plus 60*60 см №30</t>
  </si>
  <si>
    <t>пластир бактироцидний 2,5*7,6 см, полім. осн. №100 Irap; джут д/забору крові Гранум (синій поясок, жовта пласт. застібка)</t>
  </si>
  <si>
    <t>плита OSB 2500*1250-100 мм; гіпсокартон 9,5*1200*2500</t>
  </si>
  <si>
    <t>плівка PFH-T Film (рулон) 110мм*30,5м Carestream Health; проявник для ручної обробки рентгенівської плівки, в каністрах по 5 л (на 25 л розчину); фіксаж для ручної обробки рентгенівської плівки, в каністрах по 5 л (на 25 л розчину)</t>
  </si>
  <si>
    <t>порошок для прання  (Каді, 10кг, Макс 400г, Тайд автомат, 5,4 кг, Аріель Колор автома.т 3 кг, Ехо Савекс для ручного прання. 400 г, Аріель автомат, 6кг )); порошок для прання Макс 400г; порошок для прання Тайд автомат, 5,4 кг; порошок для прання Аріель Колор автома.т 3 кг; порошок для прання Ехо Савекс для ручного прання. 400 г; порошок для прання Аріель автомат, 6кг</t>
  </si>
  <si>
    <t>послуги з технічного обслуговування біохімічного аналізатора NeoChem 100, серійний номер S/N 550319001-1шт.; послуги з технічного обслуговування ематологічного аналізатора Phoenix NCC-3300, серійний номер :S/N 330619003; послуги з технічного обслуговування коагулометра СС 4000, серійний номер S/N RS 232</t>
  </si>
  <si>
    <t>постачання примірника та пакетів оновлень (комплект) комп'ютерної програми "М.Е.Doc" Модуль "М.Е.Doc Звітність" з правом використання на рік ; постачання примірника та пакетів оновлень (комплект) комп'ютерної програми "М.Е.Doc" Модуль "М.Е.Doc Електронний документообіг" (базовий) з правом використання на рік</t>
  </si>
  <si>
    <t>преднідозол-Дарниця розчин д/ін. 30 мг 1 мл №5; магнію сульфат р-н д/ін. 25% 5 мл №10; дексаметазону фосфат р-н д/ін. 0,4% 1 мл №10; ​адреналіну г/т 0,18% 1 мл №10</t>
  </si>
  <si>
    <t>проведення програми МПР : Клінічна біохімія в клінічній лабораторній діагностиці (2 етап); проведення програми МПР: Гематологія- автоматичний підрахунок клітин крові (2 етап (3 DIFF))</t>
  </si>
  <si>
    <t>пропофол-ново д/ін  мг/мл 20,0 ;  сибазон 0,5% 2,0; морфін г/хл. 1% 1,0</t>
  </si>
  <si>
    <t>протафан НМ Флекспен сусп. д/ін 100МО/мл картридж 3мл №5 (інсулін); новоралід Флекпен р-н д/ін 100 ОД/мл картридж 3мл №5 (інсулін); левемір Флекспен р-н д/ін.100 ОД/мл картридж 3мл №5 шпри-ручка (інсулін)</t>
  </si>
  <si>
    <t>реагенти (набори реагентів) для визначення рівня прокальцитоніну; реагенти (набори реагентів) для визначення рівня Д-димеру;  реагенти (набори реагентів) для визначення рівня Д-димеру (контроль); реагенти (набори реагентів) для визначення рівня прокальцитоніну (контроль)</t>
  </si>
  <si>
    <t>редуктор кисневий БКО-50-4ДМ; редуктор кисневий БКО-50-4-2ДМ</t>
  </si>
  <si>
    <t>рукавиці нітрилові CEROS р. L; рукавиці нітрилові CEROS р. М; рукавиці оглядові нітрилові  н/с  Дермагріп 6-7, неприпудрені №100</t>
  </si>
  <si>
    <t xml:space="preserve">рукавиці нітрилові CEROS р. L; рукавиці нітрилові CEROS р. М; рукавиці оглядові нітрилові н/с Дермагріп 6-7, неприпудрені №100 </t>
  </si>
  <si>
    <t>рукавички нітрилові GREAT NITRILE  розмір S (50 пар в упаковці); рукавички нітрилові DENIZZ  розмір М (100 пар в упаковці); рукавички нітрилові DENIZZ  розмір L (100 пар в упаковці)</t>
  </si>
  <si>
    <t>рукавички нітрилові MAXTER cobalt blue р. L пара №1; рукавички нітрилові MAXTER cobalt blue р. S пара №1; рукавички нітрилові MAXTER cobalt blue р. M пара №1</t>
  </si>
  <si>
    <t>рукавички нітрилові MAXTER cobalt blue р. S пара №1; рукавички нітрилові MAXTER cobalt blue р. M пара №1</t>
  </si>
  <si>
    <t>рукавички нітрилові н/с Дермагріп L пара №1; рукавички нітрилові н/с Дермагріп S пара №1; рукавички нітрилові н/с Дермагріп M пара №1</t>
  </si>
  <si>
    <t>рукавички оглядові нітрилові н/с Irap розмір L (8-9), пара неприпудр. №1; оглядові нітрилові н/с Irap розмір S (6-7), пара неприпудр. №1; рукавички оглядові нітрилові н/с Irap розмір М (7-8), пара неприпудр. №1</t>
  </si>
  <si>
    <t>рукавички оглядові нітрилові н/с Дермагріп 6-7, неприпудр. №100; рукавички оглядові нітрилові н/с  Нітрилекс р. М; рукавички оглядові нітрилові н/с  Нітрилекс р. S; рукавички оглядові нітрилові н/с  Нітрилекс р. L</t>
  </si>
  <si>
    <t>сальбутамол-Інтелі сусп. д/інг 100 мкг 200доз; натрію хлорид р-н д/інф. 0,9% 500 мл; адреналіну г/т 0,18% 1 мл №10</t>
  </si>
  <si>
    <t>сибазон 0,5% 2,0; морфін г/хл 1% 1,0</t>
  </si>
  <si>
    <t>силікон санітарний білий  320г; клей ПСМ-11, 25кг; клей ПСМ-ЕКО,25 кг)</t>
  </si>
  <si>
    <t>система ПК Алексфарм; система ПР Алексфарм; шприц 3-х компонентний Алексфарм 10 мл, голка 21 G (0.8*40 мм) №1; шприц 3-х компонентний Алексфарм  2мл, голка 23 G (0.6*30 мм) №1; шприц 3-х компонентний Алексфарм  20мл, голка 21 G (0.8*40 мм) №1; шприц 3-х компонентний Алексфарм  5мл, голка 22 G (0.7*40 мм) №1</t>
  </si>
  <si>
    <t>система ПР (без фталатів) (Вир. ЮФ, вир. площадка BroadGenesis);  шприц 1 голка ЮФ 2мл 23G (зел. ущільнювач); шприц 2 голки ЮФ 2мл  (зел. ущільнювач); шприц 2-комп 2 голка ЮФ 5 мл 22G/22G безпечна голка; шприц 2-комп 2 голка ЮФ 10 мл 22G/21G безпечна голка; шприц 2-комп 2 голка ЮФ 20 мл 22G/21G безпечна голка</t>
  </si>
  <si>
    <t>система ПР Medicare; катетер Метелик  23G Igar; відріз марлевий н/ст 10м*90см</t>
  </si>
  <si>
    <t>система ПР Алексфарм; шприц ін'єкційний 3-х компонентний Алексфарм 10 мл, голка 21 G (0,8*40 мм) №1; 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  шприц інсуліновий 3-х компонентний Алексфарм U-100 1 мл, голка 30 G (0,3*13 мм) №1</t>
  </si>
  <si>
    <t>система ПР Алесфарм; шприц 3-х компонентний Алесфарм 2 мл, голка 23 G (06*30 мм)№1; шприц 3-х компонентний Алесфарм 5 мл, голка 22 G (07*40 мм)№1; шприц 3-х компонентний Алесфарм 10 мл, голка 21 G (08*40 мм)№1</t>
  </si>
  <si>
    <t>системний блок у складі:CPU Pentium G4560 3.5GH/Asua H110M-CS Bulk H110/DDR4 RAM8GB Apaser 2133MHz/SSD2.5 256GB Goodram/Корпус SlimDesk Top LogicPower LP S605BK; системний блок у складі: CPU Core i5-10400 6-CORE 2.90-4.30Gh/MSI H410 S1200 H410M-A PRO/DDR4 RAM 8GB Kingston/SSD2.5 256GB Goodram/Корпус SlimDesk Top LogicPower LP S605BK; монітор 21,5 Samsung S22F350 (TN 5 мс, 1920*1080. HDMI/VGA)</t>
  </si>
  <si>
    <t xml:space="preserve">сметана РадиМо 20%; масло Богодухів, ваг.; сир Російський, ваг.; молоко Волошкове поле 2,5 </t>
  </si>
  <si>
    <t>спирт етиловий 70% р-н , фл. скляний 100 мл №1; спирт етиловий 96% р-н , фл. скляний 100 мл №1</t>
  </si>
  <si>
    <t>спирт етиловий 70% р-н 70% фл. скляний 100 мл; спирт етиловий 96% р-н 96% фл. скляний 100 мл</t>
  </si>
  <si>
    <t>спирт етиловий 70%, фл. скляний 100 мл №1; спирт етиловий 96%, фл. скляний 100 мл №1</t>
  </si>
  <si>
    <t>судьцеф пор. д/р-ну д/ін. 1г+1г фл. №1; бренем 1000 пор.д/р-ну д/ін. 1000 мг фл. №1</t>
  </si>
  <si>
    <t>сульцеф пор. д/п ін. р-нк 1г/1г №1; клексан р-н д/ін. 8000МО шприц 0,8 мл №2</t>
  </si>
  <si>
    <t>сульцеф пор. д/п ін. р-ну 1г/1г №1; омепразол  ліоф. д/п інф. р-ну 40 мг №1; кордарон р-н д/ін. 3 мл №6;  клексан р-н д/ін. 4000 МО шприц 0,4 мл №10; європенем пор. д/п  ін. р-ну 1г №10; гепарин р-н д/ін. 5000ОД 5 мл №5; гепацеф пор. д/п ін.р-ну 1г №10</t>
  </si>
  <si>
    <t>телевізор 32 "HISENSE 32 B6700HA; кріплення для телевізора Charmount CT-PLB-E3012AN)</t>
  </si>
  <si>
    <t>тепловентилятор 2000Вт Bt Asti, Midas; водонагрівач Round 50л; фен GLT-21</t>
  </si>
  <si>
    <t>тест д/визн. тропоніну І, КК-МВ, міоглобіну №1  СІТО TEST Troponin I, СК-МВ,Myoglobin; тест для визначення вірусу гепатиту В (цільна кров , сиворотка, плазма) пороговий рівень-1 нг/м СІТО TEST HBsAg; тест для визначення вірусу гепатиту В (цільна кров , сиворотка, плазма) пороговий рівень-1 нг/м СІТО TEST HBsAg; тест для визначення вагітності Exspress 2,5 мм. Екон.пак; тест для визначення антитіл до вірусу гепатиту С (цільна кров , сиворотка, плазма) №1  СІТО TEST НСV.; тест для визначення антитіл до вірусу гепатиту С (цільна кров , сиворотка, плазма) №1  СІТО TEST НСV.; тест для визначення антитіл до вірусу гепатиту С (цільна кров , сиворотка, плазма) №1  СІТО TEST НСV.; лейкопластир мед. на ткан. основі 1 см*500 см; лейкопластир мед. "FP Family Plast" на неткан. основі 1,25 см*500см</t>
  </si>
  <si>
    <t>тест для виявлення гепатиту В (HBsAg) (зі скарифікатором та серветкою); тест для виявлення гепатиту С (HCV) (зі скарифікатором та серветкою)</t>
  </si>
  <si>
    <t>тести для визначення вірусу гепатиту В (цільна кров, сироватка, плазма) пороговий рівень -1 нг/м СІТО TEST HBsAg;  тести для визначення вірусу гепатиту С (цільна кров, сироватка, плазма) №1 СІТО TEST  HCV)</t>
  </si>
  <si>
    <t>томатна паста "Гаманець" 490г; соус томатний "Джміль"500г</t>
  </si>
  <si>
    <t>тримач мопа 40 см; ручка алюмінієва 140 см; моп із мікрофібри FLAP&amp;POC KET 40 см</t>
  </si>
  <si>
    <t>тримач мопа 40 см; ручка алюмінієва 140см; моп із мікрофібри FLAP&amp;POC KET40 см</t>
  </si>
  <si>
    <t xml:space="preserve">трос для прочищення каналізації 10м; трос для прочищення каналізації 20м </t>
  </si>
  <si>
    <t>тумба приліжкова ДСП; стіл письмовий ДСП</t>
  </si>
  <si>
    <t>тіопентал 05; сибазон 0,5% 2,0</t>
  </si>
  <si>
    <t>фармадипін кр. 5 мл; рибоксин р-н д/ін. 2% 5 мл. №10; платифілін р-н д/ін. 2 мг/мл 1 мл №10; перекись водню р-н 3% 40 мл; папаверин р-н д/ін. 20 мг/мл 2 мл №10; пантенол плюс, крем 30г, пантенол аер 58г; пантенол аер 58г; но-шпа р-н д/ін. 40 мг 2 мл №25; натрію хлорид д/інф. 0,9% 5мл №10; кофеїн-бензоат натрію р-н д/ін. 10% 1 мл №10; кордіамін р-н д/ін. 2 мл. №10; корглікон р-н д/ін. 0,06% 1,0 №10; еуфілін р-н д/ін 2% 5 мл №10;  етамзилат р-н д/ін. 12,5% 2 мл №10; демедрол р-н д/ін. 1% 1 мл №10; валідол-Дарниця, табл. 0,06г №10; бензилбензоату емул. 20% 50г; барбовал 25 мл; аспаркам р-н д/ін 5 мл №10; анальгін р-н д/ін. 50% 2 мл №10; аміаку р-н 10% 40 мл; дибазол р-н д/ін. 1% 1 мл №10</t>
  </si>
  <si>
    <t>фасадна вивіска (500*350); табличка на кабінет; інформаційна таблиця (знак доступності); наліпка на перила</t>
  </si>
  <si>
    <t>фленокс р-н д/ін. 4000 анти-Ха МО шприц 0,4мл №10; емсеф пор. д/п ін. р-ну 1000 мг; дексаметазон р-н д/ін. 4мг/мл 1 мл №25; гепацеф Комбі пор. д/п ін. р-ну 2г №1; бліцеф пор. д/інф. 1г №1; АЦЦ гар. напій 600 мг №6; арікстра р-н д/ін 2,5 мг/0,5 мл №10; кефлім пор. д/р-ну д/ін.1000 мг №1</t>
  </si>
  <si>
    <t>фленокс р-н д/ін. 4000 анти-Ха МО шприц 0,4мл №10; клексан р-н д/ін. 4000МО шприц 0,4 мл №10</t>
  </si>
  <si>
    <t>флуконазол, розчин д/інф, 200 мг/100мл по 100 мл в контейнері №1; супралев, р-н д/інф., 500 мг/100мл, по 100 мл у контейнері з полівінілхлориду, по 1 контейнеру поліетиленовому пакеті в картонній упаковці; Рінгера розчин, р-н д/інф. по 200 мл у контейнері №1; атракурій калцекс, р-н для ін. 10мг/мл по 5 мл в ампулі №5</t>
  </si>
  <si>
    <t>фрелсі  р-н д/ін. 2,5 мг/0,5 мл шприц №10; фленокс р-н д/ін. 4000 анти-Ха МО шприц 0,4 мл №10; еноксапарин р-н д/ін 0,4г №1</t>
  </si>
  <si>
    <t>фрелсі р-н д/н 2,5 мг/0,5мл шприц №10;  клексан р-н д/ін. 4000МО шприц 0,4 мл №10</t>
  </si>
  <si>
    <t>фрелсі р-н д/ін. 2,5 мг/0,5 мл шприц №10; фармасулін Н р-н д/ін. 100МО/мл 5мл №1; фармасулін Н р-н д/ін. 100МО/мл 10мл №1; клексан р-н д/ін. 4000 МО шприц 0,4мл №10; європенем пор. д/п 500 мг №10; вомікайнд р-н д/ін 2 мг/мл 4 мл №4; вомікайнд р-н д/ін 2 мг/мл 2 мл №4</t>
  </si>
  <si>
    <t>фрелсі р-н д/ін. 2,5 мг/0,5мл шприц №10; солу-медрол пор. д/п ін. р-ну 125 мг/2 мл №1; кальцію глюконат-Дарниця р-н д/ін. 10% 5мл №10; еноксапарин р-н д/ін. 0,4г №1; фуросемід р-н д/ін. 1% 2 мл №10; спирт етиловий 96% 100 мл; спирт етиловий 70% 100 мл; муколван р-н д/ін. 0,75% 2 мл №5; метронідазол р-н д/інф. 0,5% 100 мл; метоклопрамід-Д р-н д/інф. 0,5% 2 мл; медоклав пор. д/п ін. р-ну фл. 1,2г №10; медаксон пор. 1г №10; магнію сульфат р-н д/ін. 25% 5 мл. №10; кордарон р-н д/ін. 3 мл №6; дексаметазону фосфат р-н д/ін. 0,4% 1 мл №10; гепацеф пор. д/п р-ну 1 г №10; гепарин р-н д/ін. 5000 МО/мл 5 мл №5; адреналіну г/т 0,18% 1мл №10; фуросемід р-н д/ін. 1% 2 мл №10</t>
  </si>
  <si>
    <t>фрелсі р-н д/ін. 2,5 мг/0,5мл, шприц 10; еноксапарин р-н д/ін 0,4г №1; екстенцеф пор. д/п ін. р-ну 1000 мг фл.№1; арікстра р-н д/ін. 2,5 мг/0,5 мл №10; фрелсі р-н д/ін. 2,5 мг/0,5мл, шприц 10</t>
  </si>
  <si>
    <t>фрелсі р-н д/ін. 2,5мг/0,5мл шприц №10; еноксапарин р-н д/ін. 0,4г №1</t>
  </si>
  <si>
    <t>фрелсі р-н д/ін. 2,5мг/0,5мл шприц №10; левопро р-н д/інф. 500 мг 100 мл №1; екстенцеф пор. д/п ін. р-ну 1000 мг фл. №1</t>
  </si>
  <si>
    <t>фрелсі р-н д/ін. 2,5мг/0,5мл шприц №10; левопро р-н д/інф. 500 мг 100 мл №1; європенем пор. д/п ін. р-ну 1г №10; еноксапарин р-н д/ін 0,4г №1; екстенцеф пор. д/п ін. р-ну 1000 мг фл. №1</t>
  </si>
  <si>
    <t>фрелсі р-н д/ін. 2,5мг/0,5мл шприц №10; преднізолон р-н д/ін. 30мг 1мл №5</t>
  </si>
  <si>
    <t>фрелсі р-н д/ін. 2,5мг/0,5мл; еноксапарин р-н д/ін 0,4г №1</t>
  </si>
  <si>
    <t>фрелсі розчин д/ін. 2,5 мг/0,5мл, шприц №10; натрію хлорид -Дарниця р-н д/інф. 9 мг/мл 100 мл)</t>
  </si>
  <si>
    <t>фуросемід р-н д/ін 1% 2 мл №10; спирт етиловий р-н 96% 100 мл; спирт етиловий р-н 70% 100 мл; нітрогліцерин табл. 0,5 мг №40; натрію хлорид д/інф 0,9% 200мл;  магнію сульфат р-н д/ін. 25% 5 мл №10; кальцію глюконат-Дарниця р-н д/ін. 10% 5 мл. №10; глюкоза  р-н д/інф. 5% 200 мл; бетадине р-н 10% 100 мл</t>
  </si>
  <si>
    <t>фуросемід р-н д/ін. 1% 2 мл №10; спирт етиловий р-н 96% 100 мл; спирт етиловий р-н 70% 100 мл; натрію хлорид-Дарниця р-н д/інф. 9мг/мл 100 мл; медопенем пор. 1г №1; медоклав пор. д/п ін. р-ну фл. 1,2 г №10; медаксон пор. 1г №10; дексаметазону фосфат р-н д/ін. 0,4% 1 мл №10; амоксил-К пор. д/п ін. р-ну 1,2 г №1; амоксиклав поп. д/п р-ну 1200 мг №5</t>
  </si>
  <si>
    <t>фуросемід р-н д/ін. 1% л мл №10; фармасулін Н р-н д/ін 100 МО/мл 10 мл №1; спирт етиловий р-н 96% 100 мл; спирт етиловий р-н 70% 100 мл; медоклав пор. д/п ін. р-ну фл. 1,2 г №10; медаксон пор. 1 г №10; магнію сульфат р-н д/ін. 25% 5 мл №10; кордарон р-н д/ін. 3 мл №6; кальцію глюконат р-н д/ін. 10% 5 мл №10,; інфулган р-н д/інф. 1000 мг 100 мл; дексаметазону фосфат р-н д/ін. 0,4% 1 мл №10; гепарин р-н д/ін. 5000 ОД 5 мл №5; вомікайнд р-н для ін. 2 мг/мл 4 мл №4; вомікайнд р-н для ін. 2 мг/мл 2 мл №4; бліцеф пор. д/інф. 1г №10; амоксил-К пор. д/п ін. р-ну; адреналіну г/т 0,18% 1 мл №10</t>
  </si>
  <si>
    <t>халат ізоляційний медичний одноразовий з бахілами; шапочка медична одноразова</t>
  </si>
  <si>
    <t>холодильник GRW-185 DD (білий) двокамерний;  праска Grunhelm EI8892C 2500 Вт, керамічна підошва</t>
  </si>
  <si>
    <t>цефтріаксон-Дарниця пор. д/п ін. р-ну 1 г №5; гепацеф Комбі пор. д/п ін. р-нк 2 г №1</t>
  </si>
  <si>
    <t>цефтріаксон-Дарниця пор. д/п ін. р-ну 1,0 г №1; цефтріаксон-Дарниця пор. д/п ін. р-ну 1,0 г №5</t>
  </si>
  <si>
    <t>цефтріаксон-КСП пор. д/п ін. р-ну 1г №10; клексан р-н д/ін. 8000 МО шприц 0,8 мл №2; клексан р-н д/ін. 4000 МО шприц 0,4 мл №10; бліцеф пор. д/інф. 1г №10</t>
  </si>
  <si>
    <t>шапочка-берет мед н/ст. №100 шт (спанбонд); ємність  для забору сечі ст. 125 мл</t>
  </si>
  <si>
    <t>шапочка-берет мед. стер. №10; катетер Фолея Medicare Fr 16, двухходовий латексний №1</t>
  </si>
  <si>
    <t>шапочка-берет мед. №100; шприц 1 мл, U-100 інтегр. голка (30G*8мм) Медік-о-Планет; тара для збору сечі стер 120мл Тета</t>
  </si>
  <si>
    <t>шапочка-берет спабонд, н/ст. №1; сечоприймач 2000 мл; зонд шлунковий Medicare Fr 20; відріз марлевий н/ст 10м*90см</t>
  </si>
  <si>
    <t>шолом фіксуючий для кріплення електродів ЕЕГ; електрод електроенцефалографічний чашечковий; електрод електроенцефалографічний вушний</t>
  </si>
  <si>
    <t>шприц 3-х компонентний  Алексфарм 10мл, голка 21G (0.8*40мм) №1; шприц 3-х компонентний  Алексфарм 2мл, голка 23G (0.6*20мм) №1; шприц 3-х компонентний  Алексфарм 20мл, голка 21G (0.8*40мм) №1; шприц 3-х компонентний  Алексфарм 5мл, голка 22G (0.7*40мм) №1</t>
  </si>
  <si>
    <t>шприц 5 мл одноразовий "Луер"; шприц 2 мл одноразовий "Луер"; шприц 20 мл одноразовий "Луер; шприц 10 мл одноразовий "Луер"</t>
  </si>
  <si>
    <t>шприц ін'єкційний 3-х компонентний Алексфарм 10 мл, голка 21 G (0,8*40 мм) №1; 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t>
  </si>
  <si>
    <t>шприц ін'єкційний одноразового застосування 1 мл; система для в/в вливань ПР; система для переливання крові ПК; катетер (канюля) в/в з ін'єкц. портом G22 стерильна; катетер (канюля) в/в з ін'єкц. портом  G24; канюля для ін'єкцій  типу "метелик" 23G стерильний одноразового використання; мішок пластиковий санітарний "МПС-200/5"</t>
  </si>
  <si>
    <t>європенем пор. д/п р-ну 1 г №10; екстенцеф пор. д/п р-ну 1000 мг фл. №1; бліцеф пор. д/внф. 1г №10</t>
  </si>
  <si>
    <t>європенем пор. д/ін. 500 мг №10; еноксапарин р-н 0,4 №1; левопро р-н д/інф 500 мг 100 мл №1; левопро р-н д/інф 500 мг 150 мл №1; європенем пор д/п ін. р-ну 1г №10; екстенцеф пор. д/п ін. р-ну 1000 мг фл. №1</t>
  </si>
  <si>
    <t>інфулган розчин для інфузій 10 мг/мл по 100мл; лаксерс, порошок для розчину для ін'єкцій по 1000 мг/1000 мг по 1 фл. з порошком у пачці з картону; лінелід розчин для інф. 2 мг/мл по 300 мл контейнер полімерний; натрію хлорид розчин для інф. 9 мг/мл по 100 мл; сангера розчин для ін'єкцій 100 мг/мл по 10 мл амп. №5</t>
  </si>
  <si>
    <t>№</t>
  </si>
</sst>
</file>

<file path=xl/styles.xml><?xml version="1.0" encoding="utf-8"?>
<styleSheet xmlns="http://schemas.openxmlformats.org/spreadsheetml/2006/main">
  <numFmts count="2">
    <numFmt numFmtId="165" formatCode="yyyy-mm-dd"/>
    <numFmt numFmtId="166" formatCode="dd.mm.yyyy"/>
  </numFmts>
  <fonts count="4">
    <font>
      <sz val="11"/>
      <color theme="1"/>
      <name val="Calibri"/>
      <family val="2"/>
      <scheme val="minor"/>
    </font>
    <font>
      <sz val="10.0"/>
      <color rgb="00000000"/>
      <name val="Calibri"/>
      <family val="2"/>
    </font>
    <font>
      <sz val="10.0"/>
      <color rgb="0000FF"/>
      <name val="Calibri"/>
      <family val="2"/>
    </font>
    <font>
      <sz val="10.0"/>
      <color rgb="FFFFFF"/>
      <name val="Calibri"/>
      <family val="2"/>
      <b/>
    </font>
  </fonts>
  <fills count="3">
    <fill>
      <patternFill patternType="none"/>
    </fill>
    <fill>
      <patternFill patternType="gray125"/>
    </fill>
    <fill>
      <patternFill patternType="solid">
        <fgColor rgb="008000"/>
      </patternFill>
    </fill>
  </fills>
  <borders count="2">
    <border>
      <left/>
      <right/>
      <top/>
      <bottom/>
      <diagonal/>
    </border>
    <border>
      <left style="medium">
        <color rgb="FFFFFF"/>
      </left>
      <right style="medium">
        <color rgb="FFFFFF"/>
      </right>
      <top style="medium">
        <color rgb="FFFFFF"/>
      </top>
      <bottom style="medium">
        <color rgb="FFFFFF"/>
      </bottom>
      <diagonal/>
    </border>
  </borders>
  <cellStyleXfs count="1">
    <xf numFmtId="0" fontId="0" fillId="0" borderId="0"/>
  </cellStyleXfs>
  <cellXfs count="9">
    <xf numFmtId="0" fontId="0" fillId="0" xfId="0" borderId="0"/>
    <xf numFmtId="0" fontId="1" fillId="0" xfId="0" borderId="0" applyFont="1"/>
    <xf numFmtId="0" fontId="2" fillId="0" xfId="0" borderId="0" applyFont="1"/>
    <xf numFmtId="0" fontId="3" fillId="2" xfId="0" borderId="1" applyFont="1" applyBorder="1" applyFill="1" applyAlignment="1">
      <alignment horizontal="center" wrapText="1"/>
    </xf>
    <xf numFmtId="1" fontId="1" fillId="0" xfId="0" borderId="0" applyFont="1" applyNumberFormat="1"/>
    <xf numFmtId="4" fontId="1" fillId="0" xfId="0" borderId="0" applyFont="1" applyNumberFormat="1"/>
    <xf numFmtId="165" fontId="0" fillId="0" xfId="0" borderId="0" applyNumberFormat="1"/>
    <xf numFmtId="166" fontId="1" fillId="0" xfId="0" borderId="0" applyFont="1" applyNumberFormat="1"/>
  </cellXfs>
  <cellStyles count="1">
    <cellStyle name="Normal" xfId="0" builtinId="0"/>
  </cellStyles>
  <dxfs count="0"/>
  <tableStyles count="0" defaultTableStyle="TableStyleMedium9" defaultPivotStyle="PivotStyleLight16"/>
</styleSheet>
</file>

<file path=xl/_rels/workbook.xml.rels><ns0:Relationships xmlns:ns0="http://schemas.openxmlformats.org/package/2006/relationships">
  <ns0:Relationship Id="rId1" Target="worksheets/sheet1.xml" Type="http://schemas.openxmlformats.org/officeDocument/2006/relationships/worksheet"/>
  <ns0:Relationship Id="rId2" Target="sharedStrings.xml" Type="http://schemas.openxmlformats.org/officeDocument/2006/relationships/sharedStrings"/>
  <ns0:Relationship Id="rId3" Target="styles.xml" Type="http://schemas.openxmlformats.org/officeDocument/2006/relationships/styles"/>
  <ns0:Relationship Id="rId4" Target="theme/theme1.xml" Type="http://schemas.openxmlformats.org/officeDocument/2006/relationships/theme"/>
</ns0: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ns0:Relationships xmlns:ns0="http://schemas.openxmlformats.org/package/2006/relationships">
  <ns0:Relationship Id="rId1" Type="http://schemas.openxmlformats.org/officeDocument/2006/relationships/hyperlink" Target="mailto:report.zakupki@prom.ua" TargetMode="External"/>
  <ns0:Relationship Id="rId2" Type="http://schemas.openxmlformats.org/officeDocument/2006/relationships/hyperlink" Target="https://my.zakupki.prom.ua/remote/dispatcher/state_purchase_view/25252917" TargetMode="External"/>
  <ns0:Relationship Id="rId3" Type="http://schemas.openxmlformats.org/officeDocument/2006/relationships/hyperlink" Target="https://my.zakupki.prom.ua/remote/dispatcher/state_contracting_view/8276049" TargetMode="External"/>
  <ns0:Relationship Id="rId4" Type="http://schemas.openxmlformats.org/officeDocument/2006/relationships/hyperlink" Target="https://my.zakupki.prom.ua/remote/dispatcher/state_purchase_view/25261908" TargetMode="External"/>
  <ns0:Relationship Id="rId5" Type="http://schemas.openxmlformats.org/officeDocument/2006/relationships/hyperlink" Target="https://my.zakupki.prom.ua/remote/dispatcher/state_contracting_view/8281988" TargetMode="External"/>
  <ns0:Relationship Id="rId6" Type="http://schemas.openxmlformats.org/officeDocument/2006/relationships/hyperlink" Target="https://my.zakupki.prom.ua/remote/dispatcher/state_purchase_view/31921397" TargetMode="External"/>
  <ns0:Relationship Id="rId7" Type="http://schemas.openxmlformats.org/officeDocument/2006/relationships/hyperlink" Target="https://my.zakupki.prom.ua/remote/dispatcher/state_contracting_view/11384107" TargetMode="External"/>
  <ns0:Relationship Id="rId8" Type="http://schemas.openxmlformats.org/officeDocument/2006/relationships/hyperlink" Target="https://my.zakupki.prom.ua/remote/dispatcher/state_purchase_view/23183951" TargetMode="External"/>
  <ns0:Relationship Id="rId9" Type="http://schemas.openxmlformats.org/officeDocument/2006/relationships/hyperlink" Target="https://my.zakupki.prom.ua/remote/dispatcher/state_contracting_view/7304650" TargetMode="External"/>
  <ns0:Relationship Id="rId10" Type="http://schemas.openxmlformats.org/officeDocument/2006/relationships/hyperlink" Target="https://my.zakupki.prom.ua/remote/dispatcher/state_purchase_view/23048871" TargetMode="External"/>
  <ns0:Relationship Id="rId11" Type="http://schemas.openxmlformats.org/officeDocument/2006/relationships/hyperlink" Target="https://my.zakupki.prom.ua/remote/dispatcher/state_contracting_view/7254097" TargetMode="External"/>
  <ns0:Relationship Id="rId12" Type="http://schemas.openxmlformats.org/officeDocument/2006/relationships/hyperlink" Target="https://my.zakupki.prom.ua/remote/dispatcher/state_purchase_view/23415330" TargetMode="External"/>
  <ns0:Relationship Id="rId13" Type="http://schemas.openxmlformats.org/officeDocument/2006/relationships/hyperlink" Target="https://my.zakupki.prom.ua/remote/dispatcher/state_contracting_view/7402732" TargetMode="External"/>
  <ns0:Relationship Id="rId14" Type="http://schemas.openxmlformats.org/officeDocument/2006/relationships/hyperlink" Target="https://my.zakupki.prom.ua/remote/dispatcher/state_purchase_view/22935594" TargetMode="External"/>
  <ns0:Relationship Id="rId15" Type="http://schemas.openxmlformats.org/officeDocument/2006/relationships/hyperlink" Target="https://my.zakupki.prom.ua/remote/dispatcher/state_contracting_view/7215111" TargetMode="External"/>
  <ns0:Relationship Id="rId16" Type="http://schemas.openxmlformats.org/officeDocument/2006/relationships/hyperlink" Target="https://my.zakupki.prom.ua/remote/dispatcher/state_purchase_view/22967055" TargetMode="External"/>
  <ns0:Relationship Id="rId17" Type="http://schemas.openxmlformats.org/officeDocument/2006/relationships/hyperlink" Target="https://my.zakupki.prom.ua/remote/dispatcher/state_contracting_view/7225139" TargetMode="External"/>
  <ns0:Relationship Id="rId18" Type="http://schemas.openxmlformats.org/officeDocument/2006/relationships/hyperlink" Target="https://my.zakupki.prom.ua/remote/dispatcher/state_purchase_view/22872202" TargetMode="External"/>
  <ns0:Relationship Id="rId19" Type="http://schemas.openxmlformats.org/officeDocument/2006/relationships/hyperlink" Target="https://my.zakupki.prom.ua/remote/dispatcher/state_contracting_view/7206548" TargetMode="External"/>
  <ns0:Relationship Id="rId20" Type="http://schemas.openxmlformats.org/officeDocument/2006/relationships/hyperlink" Target="https://my.zakupki.prom.ua/remote/dispatcher/state_purchase_view/32451151" TargetMode="External"/>
  <ns0:Relationship Id="rId21" Type="http://schemas.openxmlformats.org/officeDocument/2006/relationships/hyperlink" Target="https://my.zakupki.prom.ua/remote/dispatcher/state_contracting_view/11627981" TargetMode="External"/>
  <ns0:Relationship Id="rId22" Type="http://schemas.openxmlformats.org/officeDocument/2006/relationships/hyperlink" Target="https://my.zakupki.prom.ua/remote/dispatcher/state_purchase_view/31108501" TargetMode="External"/>
  <ns0:Relationship Id="rId23" Type="http://schemas.openxmlformats.org/officeDocument/2006/relationships/hyperlink" Target="https://my.zakupki.prom.ua/remote/dispatcher/state_contracting_view/11016412" TargetMode="External"/>
  <ns0:Relationship Id="rId24" Type="http://schemas.openxmlformats.org/officeDocument/2006/relationships/hyperlink" Target="https://my.zakupki.prom.ua/remote/dispatcher/state_purchase_view/26372999" TargetMode="External"/>
  <ns0:Relationship Id="rId25" Type="http://schemas.openxmlformats.org/officeDocument/2006/relationships/hyperlink" Target="https://my.zakupki.prom.ua/remote/dispatcher/state_contracting_view/8794344" TargetMode="External"/>
  <ns0:Relationship Id="rId26" Type="http://schemas.openxmlformats.org/officeDocument/2006/relationships/hyperlink" Target="https://my.zakupki.prom.ua/remote/dispatcher/state_purchase_view/24290770" TargetMode="External"/>
  <ns0:Relationship Id="rId27" Type="http://schemas.openxmlformats.org/officeDocument/2006/relationships/hyperlink" Target="https://my.zakupki.prom.ua/remote/dispatcher/state_contracting_view/7799228" TargetMode="External"/>
  <ns0:Relationship Id="rId28" Type="http://schemas.openxmlformats.org/officeDocument/2006/relationships/hyperlink" Target="https://my.zakupki.prom.ua/remote/dispatcher/state_purchase_view/24093856" TargetMode="External"/>
  <ns0:Relationship Id="rId29" Type="http://schemas.openxmlformats.org/officeDocument/2006/relationships/hyperlink" Target="https://my.zakupki.prom.ua/remote/dispatcher/state_contracting_view/7713176" TargetMode="External"/>
  <ns0:Relationship Id="rId30" Type="http://schemas.openxmlformats.org/officeDocument/2006/relationships/hyperlink" Target="https://my.zakupki.prom.ua/remote/dispatcher/state_purchase_view/23996857" TargetMode="External"/>
  <ns0:Relationship Id="rId31" Type="http://schemas.openxmlformats.org/officeDocument/2006/relationships/hyperlink" Target="https://my.zakupki.prom.ua/remote/dispatcher/state_contracting_view/7664701" TargetMode="External"/>
  <ns0:Relationship Id="rId32" Type="http://schemas.openxmlformats.org/officeDocument/2006/relationships/hyperlink" Target="https://my.zakupki.prom.ua/remote/dispatcher/state_purchase_view/33147645" TargetMode="External"/>
  <ns0:Relationship Id="rId33" Type="http://schemas.openxmlformats.org/officeDocument/2006/relationships/hyperlink" Target="https://my.zakupki.prom.ua/remote/dispatcher/state_contracting_view/11991375" TargetMode="External"/>
  <ns0:Relationship Id="rId34" Type="http://schemas.openxmlformats.org/officeDocument/2006/relationships/hyperlink" Target="https://my.zakupki.prom.ua/remote/dispatcher/state_purchase_view/28155328" TargetMode="External"/>
  <ns0:Relationship Id="rId35" Type="http://schemas.openxmlformats.org/officeDocument/2006/relationships/hyperlink" Target="https://my.zakupki.prom.ua/remote/dispatcher/state_contracting_view/9641799" TargetMode="External"/>
  <ns0:Relationship Id="rId36" Type="http://schemas.openxmlformats.org/officeDocument/2006/relationships/hyperlink" Target="https://my.zakupki.prom.ua/remote/dispatcher/state_purchase_view/29150806" TargetMode="External"/>
  <ns0:Relationship Id="rId37" Type="http://schemas.openxmlformats.org/officeDocument/2006/relationships/hyperlink" Target="https://my.zakupki.prom.ua/remote/dispatcher/state_contracting_view/10105808" TargetMode="External"/>
  <ns0:Relationship Id="rId38" Type="http://schemas.openxmlformats.org/officeDocument/2006/relationships/hyperlink" Target="https://my.zakupki.prom.ua/remote/dispatcher/state_purchase_view/28186069" TargetMode="External"/>
  <ns0:Relationship Id="rId39" Type="http://schemas.openxmlformats.org/officeDocument/2006/relationships/hyperlink" Target="https://my.zakupki.prom.ua/remote/dispatcher/state_contracting_view/9654247" TargetMode="External"/>
  <ns0:Relationship Id="rId40" Type="http://schemas.openxmlformats.org/officeDocument/2006/relationships/hyperlink" Target="https://my.zakupki.prom.ua/remote/dispatcher/state_purchase_view/30275349" TargetMode="External"/>
  <ns0:Relationship Id="rId41" Type="http://schemas.openxmlformats.org/officeDocument/2006/relationships/hyperlink" Target="https://my.zakupki.prom.ua/remote/dispatcher/state_contracting_view/10627097" TargetMode="External"/>
  <ns0:Relationship Id="rId42" Type="http://schemas.openxmlformats.org/officeDocument/2006/relationships/hyperlink" Target="https://my.zakupki.prom.ua/remote/dispatcher/state_purchase_view/26257616" TargetMode="External"/>
  <ns0:Relationship Id="rId43" Type="http://schemas.openxmlformats.org/officeDocument/2006/relationships/hyperlink" Target="https://my.zakupki.prom.ua/remote/dispatcher/state_contracting_view/8738973" TargetMode="External"/>
  <ns0:Relationship Id="rId44" Type="http://schemas.openxmlformats.org/officeDocument/2006/relationships/hyperlink" Target="https://my.zakupki.prom.ua/remote/dispatcher/state_purchase_view/26256745" TargetMode="External"/>
  <ns0:Relationship Id="rId45" Type="http://schemas.openxmlformats.org/officeDocument/2006/relationships/hyperlink" Target="https://my.zakupki.prom.ua/remote/dispatcher/state_contracting_view/8739165" TargetMode="External"/>
  <ns0:Relationship Id="rId46" Type="http://schemas.openxmlformats.org/officeDocument/2006/relationships/hyperlink" Target="https://my.zakupki.prom.ua/remote/dispatcher/state_purchase_view/26275518" TargetMode="External"/>
  <ns0:Relationship Id="rId47" Type="http://schemas.openxmlformats.org/officeDocument/2006/relationships/hyperlink" Target="https://my.zakupki.prom.ua/remote/dispatcher/state_contracting_view/8746423" TargetMode="External"/>
  <ns0:Relationship Id="rId48" Type="http://schemas.openxmlformats.org/officeDocument/2006/relationships/hyperlink" Target="https://my.zakupki.prom.ua/remote/dispatcher/state_purchase_view/24743939" TargetMode="External"/>
  <ns0:Relationship Id="rId49" Type="http://schemas.openxmlformats.org/officeDocument/2006/relationships/hyperlink" Target="https://my.zakupki.prom.ua/remote/dispatcher/state_contracting_view/8014116" TargetMode="External"/>
  <ns0:Relationship Id="rId50" Type="http://schemas.openxmlformats.org/officeDocument/2006/relationships/hyperlink" Target="https://my.zakupki.prom.ua/remote/dispatcher/state_purchase_view/23276320" TargetMode="External"/>
  <ns0:Relationship Id="rId51" Type="http://schemas.openxmlformats.org/officeDocument/2006/relationships/hyperlink" Target="https://my.zakupki.prom.ua/remote/dispatcher/state_contracting_view/7942675" TargetMode="External"/>
  <ns0:Relationship Id="rId52" Type="http://schemas.openxmlformats.org/officeDocument/2006/relationships/hyperlink" Target="https://my.zakupki.prom.ua/remote/dispatcher/state_purchase_view/24576651" TargetMode="External"/>
  <ns0:Relationship Id="rId53" Type="http://schemas.openxmlformats.org/officeDocument/2006/relationships/hyperlink" Target="https://my.zakupki.prom.ua/remote/dispatcher/state_contracting_view/7938818" TargetMode="External"/>
  <ns0:Relationship Id="rId54" Type="http://schemas.openxmlformats.org/officeDocument/2006/relationships/hyperlink" Target="https://my.zakupki.prom.ua/remote/dispatcher/state_purchase_view/23361120" TargetMode="External"/>
  <ns0:Relationship Id="rId55" Type="http://schemas.openxmlformats.org/officeDocument/2006/relationships/hyperlink" Target="https://my.zakupki.prom.ua/remote/dispatcher/state_contracting_view/7378898" TargetMode="External"/>
  <ns0:Relationship Id="rId56" Type="http://schemas.openxmlformats.org/officeDocument/2006/relationships/hyperlink" Target="https://my.zakupki.prom.ua/remote/dispatcher/state_purchase_view/26401569" TargetMode="External"/>
  <ns0:Relationship Id="rId57" Type="http://schemas.openxmlformats.org/officeDocument/2006/relationships/hyperlink" Target="https://my.zakupki.prom.ua/remote/dispatcher/state_contracting_view/8809960" TargetMode="External"/>
  <ns0:Relationship Id="rId58" Type="http://schemas.openxmlformats.org/officeDocument/2006/relationships/hyperlink" Target="https://my.zakupki.prom.ua/remote/dispatcher/state_purchase_view/24962354" TargetMode="External"/>
  <ns0:Relationship Id="rId59" Type="http://schemas.openxmlformats.org/officeDocument/2006/relationships/hyperlink" Target="https://my.zakupki.prom.ua/remote/dispatcher/state_contracting_view/8118924" TargetMode="External"/>
  <ns0:Relationship Id="rId60" Type="http://schemas.openxmlformats.org/officeDocument/2006/relationships/hyperlink" Target="https://my.zakupki.prom.ua/remote/dispatcher/state_purchase_view/24902206" TargetMode="External"/>
  <ns0:Relationship Id="rId61" Type="http://schemas.openxmlformats.org/officeDocument/2006/relationships/hyperlink" Target="https://my.zakupki.prom.ua/remote/dispatcher/state_contracting_view/8091314" TargetMode="External"/>
  <ns0:Relationship Id="rId62" Type="http://schemas.openxmlformats.org/officeDocument/2006/relationships/hyperlink" Target="https://my.zakupki.prom.ua/remote/dispatcher/state_purchase_view/27188124" TargetMode="External"/>
  <ns0:Relationship Id="rId63" Type="http://schemas.openxmlformats.org/officeDocument/2006/relationships/hyperlink" Target="https://my.zakupki.prom.ua/remote/dispatcher/state_contracting_view/9180238" TargetMode="External"/>
  <ns0:Relationship Id="rId64" Type="http://schemas.openxmlformats.org/officeDocument/2006/relationships/hyperlink" Target="https://my.zakupki.prom.ua/remote/dispatcher/state_purchase_view/27774365" TargetMode="External"/>
  <ns0:Relationship Id="rId65" Type="http://schemas.openxmlformats.org/officeDocument/2006/relationships/hyperlink" Target="https://my.zakupki.prom.ua/remote/dispatcher/state_contracting_view/9465322" TargetMode="External"/>
  <ns0:Relationship Id="rId66" Type="http://schemas.openxmlformats.org/officeDocument/2006/relationships/hyperlink" Target="https://my.zakupki.prom.ua/remote/dispatcher/state_purchase_view/33035095" TargetMode="External"/>
  <ns0:Relationship Id="rId67" Type="http://schemas.openxmlformats.org/officeDocument/2006/relationships/hyperlink" Target="https://my.zakupki.prom.ua/remote/dispatcher/state_contracting_view/11925762" TargetMode="External"/>
  <ns0:Relationship Id="rId68" Type="http://schemas.openxmlformats.org/officeDocument/2006/relationships/hyperlink" Target="https://my.zakupki.prom.ua/remote/dispatcher/state_purchase_view/31884750" TargetMode="External"/>
  <ns0:Relationship Id="rId69" Type="http://schemas.openxmlformats.org/officeDocument/2006/relationships/hyperlink" Target="https://my.zakupki.prom.ua/remote/dispatcher/state_contracting_view/11367230" TargetMode="External"/>
  <ns0:Relationship Id="rId70" Type="http://schemas.openxmlformats.org/officeDocument/2006/relationships/hyperlink" Target="https://my.zakupki.prom.ua/remote/dispatcher/state_purchase_view/23575672" TargetMode="External"/>
  <ns0:Relationship Id="rId71" Type="http://schemas.openxmlformats.org/officeDocument/2006/relationships/hyperlink" Target="https://my.zakupki.prom.ua/remote/dispatcher/state_contracting_view/7471831" TargetMode="External"/>
  <ns0:Relationship Id="rId72" Type="http://schemas.openxmlformats.org/officeDocument/2006/relationships/hyperlink" Target="https://my.zakupki.prom.ua/remote/dispatcher/state_purchase_view/32925315" TargetMode="External"/>
  <ns0:Relationship Id="rId73" Type="http://schemas.openxmlformats.org/officeDocument/2006/relationships/hyperlink" Target="https://my.zakupki.prom.ua/remote/dispatcher/state_contracting_view/11849354" TargetMode="External"/>
  <ns0:Relationship Id="rId74" Type="http://schemas.openxmlformats.org/officeDocument/2006/relationships/hyperlink" Target="https://my.zakupki.prom.ua/remote/dispatcher/state_purchase_view/33550221" TargetMode="External"/>
  <ns0:Relationship Id="rId75" Type="http://schemas.openxmlformats.org/officeDocument/2006/relationships/hyperlink" Target="https://my.zakupki.prom.ua/remote/dispatcher/state_contracting_view/12152266" TargetMode="External"/>
  <ns0:Relationship Id="rId76" Type="http://schemas.openxmlformats.org/officeDocument/2006/relationships/hyperlink" Target="https://my.zakupki.prom.ua/remote/dispatcher/state_purchase_view/32212485" TargetMode="External"/>
  <ns0:Relationship Id="rId77" Type="http://schemas.openxmlformats.org/officeDocument/2006/relationships/hyperlink" Target="https://my.zakupki.prom.ua/remote/dispatcher/state_contracting_view/11517969" TargetMode="External"/>
  <ns0:Relationship Id="rId78" Type="http://schemas.openxmlformats.org/officeDocument/2006/relationships/hyperlink" Target="https://my.zakupki.prom.ua/remote/dispatcher/state_purchase_view/32214266" TargetMode="External"/>
  <ns0:Relationship Id="rId79" Type="http://schemas.openxmlformats.org/officeDocument/2006/relationships/hyperlink" Target="https://my.zakupki.prom.ua/remote/dispatcher/state_contracting_view/11519542" TargetMode="External"/>
  <ns0:Relationship Id="rId80" Type="http://schemas.openxmlformats.org/officeDocument/2006/relationships/hyperlink" Target="https://my.zakupki.prom.ua/remote/dispatcher/state_purchase_view/25485591" TargetMode="External"/>
  <ns0:Relationship Id="rId81" Type="http://schemas.openxmlformats.org/officeDocument/2006/relationships/hyperlink" Target="https://my.zakupki.prom.ua/remote/dispatcher/state_contracting_view/8371407" TargetMode="External"/>
  <ns0:Relationship Id="rId82" Type="http://schemas.openxmlformats.org/officeDocument/2006/relationships/hyperlink" Target="https://my.zakupki.prom.ua/remote/dispatcher/state_purchase_view/30148461" TargetMode="External"/>
  <ns0:Relationship Id="rId83" Type="http://schemas.openxmlformats.org/officeDocument/2006/relationships/hyperlink" Target="https://my.zakupki.prom.ua/remote/dispatcher/state_contracting_view/10568527" TargetMode="External"/>
  <ns0:Relationship Id="rId84" Type="http://schemas.openxmlformats.org/officeDocument/2006/relationships/hyperlink" Target="https://my.zakupki.prom.ua/remote/dispatcher/state_purchase_view/29431236" TargetMode="External"/>
  <ns0:Relationship Id="rId85" Type="http://schemas.openxmlformats.org/officeDocument/2006/relationships/hyperlink" Target="https://my.zakupki.prom.ua/remote/dispatcher/state_contracting_view/10237410" TargetMode="External"/>
  <ns0:Relationship Id="rId86" Type="http://schemas.openxmlformats.org/officeDocument/2006/relationships/hyperlink" Target="https://my.zakupki.prom.ua/remote/dispatcher/state_purchase_view/27778430" TargetMode="External"/>
  <ns0:Relationship Id="rId87" Type="http://schemas.openxmlformats.org/officeDocument/2006/relationships/hyperlink" Target="https://my.zakupki.prom.ua/remote/dispatcher/state_contracting_view/9464664" TargetMode="External"/>
  <ns0:Relationship Id="rId88" Type="http://schemas.openxmlformats.org/officeDocument/2006/relationships/hyperlink" Target="https://my.zakupki.prom.ua/remote/dispatcher/state_purchase_view/27776247" TargetMode="External"/>
  <ns0:Relationship Id="rId89" Type="http://schemas.openxmlformats.org/officeDocument/2006/relationships/hyperlink" Target="https://my.zakupki.prom.ua/remote/dispatcher/state_contracting_view/9465233" TargetMode="External"/>
  <ns0:Relationship Id="rId90" Type="http://schemas.openxmlformats.org/officeDocument/2006/relationships/hyperlink" Target="https://my.zakupki.prom.ua/remote/dispatcher/state_purchase_view/25207990" TargetMode="External"/>
  <ns0:Relationship Id="rId91" Type="http://schemas.openxmlformats.org/officeDocument/2006/relationships/hyperlink" Target="https://my.zakupki.prom.ua/remote/dispatcher/state_contracting_view/8248331" TargetMode="External"/>
  <ns0:Relationship Id="rId92" Type="http://schemas.openxmlformats.org/officeDocument/2006/relationships/hyperlink" Target="https://my.zakupki.prom.ua/remote/dispatcher/state_purchase_view/25838768" TargetMode="External"/>
  <ns0:Relationship Id="rId93" Type="http://schemas.openxmlformats.org/officeDocument/2006/relationships/hyperlink" Target="https://my.zakupki.prom.ua/remote/dispatcher/state_contracting_view/8784586" TargetMode="External"/>
  <ns0:Relationship Id="rId94" Type="http://schemas.openxmlformats.org/officeDocument/2006/relationships/hyperlink" Target="https://my.zakupki.prom.ua/remote/dispatcher/state_purchase_view/26236278" TargetMode="External"/>
  <ns0:Relationship Id="rId95" Type="http://schemas.openxmlformats.org/officeDocument/2006/relationships/hyperlink" Target="https://my.zakupki.prom.ua/remote/dispatcher/state_contracting_view/8733960" TargetMode="External"/>
  <ns0:Relationship Id="rId96" Type="http://schemas.openxmlformats.org/officeDocument/2006/relationships/hyperlink" Target="https://my.zakupki.prom.ua/remote/dispatcher/state_purchase_view/26233034" TargetMode="External"/>
  <ns0:Relationship Id="rId97" Type="http://schemas.openxmlformats.org/officeDocument/2006/relationships/hyperlink" Target="https://my.zakupki.prom.ua/remote/dispatcher/state_contracting_view/8734120" TargetMode="External"/>
  <ns0:Relationship Id="rId98" Type="http://schemas.openxmlformats.org/officeDocument/2006/relationships/hyperlink" Target="https://my.zakupki.prom.ua/remote/dispatcher/state_purchase_view/25645014" TargetMode="External"/>
  <ns0:Relationship Id="rId99" Type="http://schemas.openxmlformats.org/officeDocument/2006/relationships/hyperlink" Target="https://my.zakupki.prom.ua/remote/dispatcher/state_contracting_view/8444316" TargetMode="External"/>
  <ns0:Relationship Id="rId100" Type="http://schemas.openxmlformats.org/officeDocument/2006/relationships/hyperlink" Target="https://my.zakupki.prom.ua/remote/dispatcher/state_purchase_view/24793146" TargetMode="External"/>
  <ns0:Relationship Id="rId101" Type="http://schemas.openxmlformats.org/officeDocument/2006/relationships/hyperlink" Target="https://my.zakupki.prom.ua/remote/dispatcher/state_contracting_view/8044866" TargetMode="External"/>
  <ns0:Relationship Id="rId102" Type="http://schemas.openxmlformats.org/officeDocument/2006/relationships/hyperlink" Target="https://my.zakupki.prom.ua/remote/dispatcher/state_purchase_view/24918260" TargetMode="External"/>
  <ns0:Relationship Id="rId103" Type="http://schemas.openxmlformats.org/officeDocument/2006/relationships/hyperlink" Target="https://my.zakupki.prom.ua/remote/dispatcher/state_contracting_view/8113034" TargetMode="External"/>
  <ns0:Relationship Id="rId104" Type="http://schemas.openxmlformats.org/officeDocument/2006/relationships/hyperlink" Target="https://my.zakupki.prom.ua/remote/dispatcher/state_purchase_view/24772495" TargetMode="External"/>
  <ns0:Relationship Id="rId105" Type="http://schemas.openxmlformats.org/officeDocument/2006/relationships/hyperlink" Target="https://my.zakupki.prom.ua/remote/dispatcher/state_contracting_view/8027310" TargetMode="External"/>
  <ns0:Relationship Id="rId106" Type="http://schemas.openxmlformats.org/officeDocument/2006/relationships/hyperlink" Target="https://my.zakupki.prom.ua/remote/dispatcher/state_purchase_view/25589280" TargetMode="External"/>
  <ns0:Relationship Id="rId107" Type="http://schemas.openxmlformats.org/officeDocument/2006/relationships/hyperlink" Target="https://my.zakupki.prom.ua/remote/dispatcher/state_contracting_view/8419533" TargetMode="External"/>
  <ns0:Relationship Id="rId108" Type="http://schemas.openxmlformats.org/officeDocument/2006/relationships/hyperlink" Target="https://my.zakupki.prom.ua/remote/dispatcher/state_purchase_view/25367730" TargetMode="External"/>
  <ns0:Relationship Id="rId109" Type="http://schemas.openxmlformats.org/officeDocument/2006/relationships/hyperlink" Target="https://my.zakupki.prom.ua/remote/dispatcher/state_contracting_view/8312427" TargetMode="External"/>
  <ns0:Relationship Id="rId110" Type="http://schemas.openxmlformats.org/officeDocument/2006/relationships/hyperlink" Target="https://my.zakupki.prom.ua/remote/dispatcher/state_purchase_view/31747832" TargetMode="External"/>
  <ns0:Relationship Id="rId111" Type="http://schemas.openxmlformats.org/officeDocument/2006/relationships/hyperlink" Target="https://my.zakupki.prom.ua/remote/dispatcher/state_contracting_view/11883138" TargetMode="External"/>
  <ns0:Relationship Id="rId112" Type="http://schemas.openxmlformats.org/officeDocument/2006/relationships/hyperlink" Target="https://my.zakupki.prom.ua/remote/dispatcher/state_purchase_view/24018760" TargetMode="External"/>
  <ns0:Relationship Id="rId113" Type="http://schemas.openxmlformats.org/officeDocument/2006/relationships/hyperlink" Target="https://my.zakupki.prom.ua/remote/dispatcher/state_contracting_view/8064131" TargetMode="External"/>
  <ns0:Relationship Id="rId114" Type="http://schemas.openxmlformats.org/officeDocument/2006/relationships/hyperlink" Target="https://my.zakupki.prom.ua/remote/dispatcher/state_purchase_view/29490832" TargetMode="External"/>
  <ns0:Relationship Id="rId115" Type="http://schemas.openxmlformats.org/officeDocument/2006/relationships/hyperlink" Target="https://my.zakupki.prom.ua/remote/dispatcher/state_contracting_view/10265313" TargetMode="External"/>
  <ns0:Relationship Id="rId116" Type="http://schemas.openxmlformats.org/officeDocument/2006/relationships/hyperlink" Target="https://my.zakupki.prom.ua/remote/dispatcher/state_purchase_view/28756544" TargetMode="External"/>
  <ns0:Relationship Id="rId117" Type="http://schemas.openxmlformats.org/officeDocument/2006/relationships/hyperlink" Target="https://my.zakupki.prom.ua/remote/dispatcher/state_contracting_view/9922005" TargetMode="External"/>
  <ns0:Relationship Id="rId118" Type="http://schemas.openxmlformats.org/officeDocument/2006/relationships/hyperlink" Target="https://my.zakupki.prom.ua/remote/dispatcher/state_purchase_view/32919496" TargetMode="External"/>
  <ns0:Relationship Id="rId119" Type="http://schemas.openxmlformats.org/officeDocument/2006/relationships/hyperlink" Target="https://my.zakupki.prom.ua/remote/dispatcher/state_contracting_view/11845580" TargetMode="External"/>
  <ns0:Relationship Id="rId120" Type="http://schemas.openxmlformats.org/officeDocument/2006/relationships/hyperlink" Target="https://my.zakupki.prom.ua/remote/dispatcher/state_purchase_view/32431786" TargetMode="External"/>
  <ns0:Relationship Id="rId121" Type="http://schemas.openxmlformats.org/officeDocument/2006/relationships/hyperlink" Target="https://my.zakupki.prom.ua/remote/dispatcher/state_contracting_view/11619799" TargetMode="External"/>
  <ns0:Relationship Id="rId122" Type="http://schemas.openxmlformats.org/officeDocument/2006/relationships/hyperlink" Target="https://my.zakupki.prom.ua/remote/dispatcher/state_purchase_view/33784116" TargetMode="External"/>
  <ns0:Relationship Id="rId123" Type="http://schemas.openxmlformats.org/officeDocument/2006/relationships/hyperlink" Target="https://my.zakupki.prom.ua/remote/dispatcher/state_contracting_view/12269414" TargetMode="External"/>
  <ns0:Relationship Id="rId124" Type="http://schemas.openxmlformats.org/officeDocument/2006/relationships/hyperlink" Target="https://my.zakupki.prom.ua/remote/dispatcher/state_purchase_view/30406723" TargetMode="External"/>
  <ns0:Relationship Id="rId125" Type="http://schemas.openxmlformats.org/officeDocument/2006/relationships/hyperlink" Target="https://my.zakupki.prom.ua/remote/dispatcher/state_contracting_view/10694528" TargetMode="External"/>
  <ns0:Relationship Id="rId126" Type="http://schemas.openxmlformats.org/officeDocument/2006/relationships/hyperlink" Target="https://my.zakupki.prom.ua/remote/dispatcher/state_purchase_view/26754326" TargetMode="External"/>
  <ns0:Relationship Id="rId127" Type="http://schemas.openxmlformats.org/officeDocument/2006/relationships/hyperlink" Target="https://my.zakupki.prom.ua/remote/dispatcher/state_contracting_view/8974708" TargetMode="External"/>
  <ns0:Relationship Id="rId128" Type="http://schemas.openxmlformats.org/officeDocument/2006/relationships/hyperlink" Target="https://my.zakupki.prom.ua/remote/dispatcher/state_purchase_view/30300493" TargetMode="External"/>
  <ns0:Relationship Id="rId129" Type="http://schemas.openxmlformats.org/officeDocument/2006/relationships/hyperlink" Target="https://my.zakupki.prom.ua/remote/dispatcher/state_contracting_view/10644862" TargetMode="External"/>
  <ns0:Relationship Id="rId130" Type="http://schemas.openxmlformats.org/officeDocument/2006/relationships/hyperlink" Target="https://my.zakupki.prom.ua/remote/dispatcher/state_purchase_view/30300029" TargetMode="External"/>
  <ns0:Relationship Id="rId131" Type="http://schemas.openxmlformats.org/officeDocument/2006/relationships/hyperlink" Target="https://my.zakupki.prom.ua/remote/dispatcher/state_contracting_view/10644719" TargetMode="External"/>
  <ns0:Relationship Id="rId132" Type="http://schemas.openxmlformats.org/officeDocument/2006/relationships/hyperlink" Target="https://my.zakupki.prom.ua/remote/dispatcher/state_purchase_view/25239578" TargetMode="External"/>
  <ns0:Relationship Id="rId133" Type="http://schemas.openxmlformats.org/officeDocument/2006/relationships/hyperlink" Target="https://my.zakupki.prom.ua/remote/dispatcher/state_contracting_view/8273530" TargetMode="External"/>
  <ns0:Relationship Id="rId134" Type="http://schemas.openxmlformats.org/officeDocument/2006/relationships/hyperlink" Target="https://my.zakupki.prom.ua/remote/dispatcher/state_purchase_view/24741024" TargetMode="External"/>
  <ns0:Relationship Id="rId135" Type="http://schemas.openxmlformats.org/officeDocument/2006/relationships/hyperlink" Target="https://my.zakupki.prom.ua/remote/dispatcher/state_contracting_view/8012777" TargetMode="External"/>
  <ns0:Relationship Id="rId136" Type="http://schemas.openxmlformats.org/officeDocument/2006/relationships/hyperlink" Target="https://my.zakupki.prom.ua/remote/dispatcher/state_purchase_view/23994520" TargetMode="External"/>
  <ns0:Relationship Id="rId137" Type="http://schemas.openxmlformats.org/officeDocument/2006/relationships/hyperlink" Target="https://my.zakupki.prom.ua/remote/dispatcher/state_contracting_view/7663913" TargetMode="External"/>
  <ns0:Relationship Id="rId138" Type="http://schemas.openxmlformats.org/officeDocument/2006/relationships/hyperlink" Target="https://my.zakupki.prom.ua/remote/dispatcher/state_purchase_view/25659827" TargetMode="External"/>
  <ns0:Relationship Id="rId139" Type="http://schemas.openxmlformats.org/officeDocument/2006/relationships/hyperlink" Target="https://my.zakupki.prom.ua/remote/dispatcher/state_contracting_view/8450944" TargetMode="External"/>
  <ns0:Relationship Id="rId140" Type="http://schemas.openxmlformats.org/officeDocument/2006/relationships/hyperlink" Target="https://my.zakupki.prom.ua/remote/dispatcher/state_purchase_view/25859363" TargetMode="External"/>
  <ns0:Relationship Id="rId141" Type="http://schemas.openxmlformats.org/officeDocument/2006/relationships/hyperlink" Target="https://my.zakupki.prom.ua/remote/dispatcher/state_contracting_view/8546682" TargetMode="External"/>
  <ns0:Relationship Id="rId142" Type="http://schemas.openxmlformats.org/officeDocument/2006/relationships/hyperlink" Target="https://my.zakupki.prom.ua/remote/dispatcher/state_purchase_view/24967218" TargetMode="External"/>
  <ns0:Relationship Id="rId143" Type="http://schemas.openxmlformats.org/officeDocument/2006/relationships/hyperlink" Target="https://my.zakupki.prom.ua/remote/dispatcher/state_contracting_view/8121356" TargetMode="External"/>
  <ns0:Relationship Id="rId144" Type="http://schemas.openxmlformats.org/officeDocument/2006/relationships/hyperlink" Target="https://my.zakupki.prom.ua/remote/dispatcher/state_purchase_view/23345639" TargetMode="External"/>
  <ns0:Relationship Id="rId145" Type="http://schemas.openxmlformats.org/officeDocument/2006/relationships/hyperlink" Target="https://my.zakupki.prom.ua/remote/dispatcher/state_contracting_view/8225756" TargetMode="External"/>
  <ns0:Relationship Id="rId146" Type="http://schemas.openxmlformats.org/officeDocument/2006/relationships/hyperlink" Target="https://my.zakupki.prom.ua/remote/dispatcher/state_purchase_view/30276432" TargetMode="External"/>
  <ns0:Relationship Id="rId147" Type="http://schemas.openxmlformats.org/officeDocument/2006/relationships/hyperlink" Target="https://my.zakupki.prom.ua/remote/dispatcher/state_contracting_view/10627641" TargetMode="External"/>
  <ns0:Relationship Id="rId148" Type="http://schemas.openxmlformats.org/officeDocument/2006/relationships/hyperlink" Target="https://my.zakupki.prom.ua/remote/dispatcher/state_purchase_view/29910931" TargetMode="External"/>
  <ns0:Relationship Id="rId149" Type="http://schemas.openxmlformats.org/officeDocument/2006/relationships/hyperlink" Target="https://my.zakupki.prom.ua/remote/dispatcher/state_contracting_view/10460293" TargetMode="External"/>
  <ns0:Relationship Id="rId150" Type="http://schemas.openxmlformats.org/officeDocument/2006/relationships/hyperlink" Target="https://my.zakupki.prom.ua/remote/dispatcher/state_purchase_view/29982264" TargetMode="External"/>
  <ns0:Relationship Id="rId151" Type="http://schemas.openxmlformats.org/officeDocument/2006/relationships/hyperlink" Target="https://my.zakupki.prom.ua/remote/dispatcher/state_contracting_view/10565971" TargetMode="External"/>
  <ns0:Relationship Id="rId152" Type="http://schemas.openxmlformats.org/officeDocument/2006/relationships/hyperlink" Target="https://my.zakupki.prom.ua/remote/dispatcher/state_purchase_view/29284515" TargetMode="External"/>
  <ns0:Relationship Id="rId153" Type="http://schemas.openxmlformats.org/officeDocument/2006/relationships/hyperlink" Target="https://my.zakupki.prom.ua/remote/dispatcher/state_contracting_view/10169066" TargetMode="External"/>
  <ns0:Relationship Id="rId154" Type="http://schemas.openxmlformats.org/officeDocument/2006/relationships/hyperlink" Target="https://my.zakupki.prom.ua/remote/dispatcher/state_purchase_view/27159518" TargetMode="External"/>
  <ns0:Relationship Id="rId155" Type="http://schemas.openxmlformats.org/officeDocument/2006/relationships/hyperlink" Target="https://my.zakupki.prom.ua/remote/dispatcher/state_contracting_view/9167732" TargetMode="External"/>
  <ns0:Relationship Id="rId156" Type="http://schemas.openxmlformats.org/officeDocument/2006/relationships/hyperlink" Target="https://my.zakupki.prom.ua/remote/dispatcher/state_purchase_view/23771742" TargetMode="External"/>
  <ns0:Relationship Id="rId157" Type="http://schemas.openxmlformats.org/officeDocument/2006/relationships/hyperlink" Target="https://my.zakupki.prom.ua/remote/dispatcher/state_contracting_view/7558401" TargetMode="External"/>
  <ns0:Relationship Id="rId158" Type="http://schemas.openxmlformats.org/officeDocument/2006/relationships/hyperlink" Target="https://my.zakupki.prom.ua/remote/dispatcher/state_purchase_view/22933140" TargetMode="External"/>
  <ns0:Relationship Id="rId159" Type="http://schemas.openxmlformats.org/officeDocument/2006/relationships/hyperlink" Target="https://my.zakupki.prom.ua/remote/dispatcher/state_contracting_view/7214327" TargetMode="External"/>
  <ns0:Relationship Id="rId160" Type="http://schemas.openxmlformats.org/officeDocument/2006/relationships/hyperlink" Target="https://my.zakupki.prom.ua/remote/dispatcher/state_purchase_view/25164508" TargetMode="External"/>
  <ns0:Relationship Id="rId161" Type="http://schemas.openxmlformats.org/officeDocument/2006/relationships/hyperlink" Target="https://my.zakupki.prom.ua/remote/dispatcher/state_contracting_view/8220473" TargetMode="External"/>
  <ns0:Relationship Id="rId162" Type="http://schemas.openxmlformats.org/officeDocument/2006/relationships/hyperlink" Target="https://my.zakupki.prom.ua/remote/dispatcher/state_purchase_view/26233284" TargetMode="External"/>
  <ns0:Relationship Id="rId163" Type="http://schemas.openxmlformats.org/officeDocument/2006/relationships/hyperlink" Target="https://my.zakupki.prom.ua/remote/dispatcher/state_contracting_view/8734237" TargetMode="External"/>
  <ns0:Relationship Id="rId164" Type="http://schemas.openxmlformats.org/officeDocument/2006/relationships/hyperlink" Target="https://my.zakupki.prom.ua/remote/dispatcher/state_purchase_view/25635820" TargetMode="External"/>
  <ns0:Relationship Id="rId165" Type="http://schemas.openxmlformats.org/officeDocument/2006/relationships/hyperlink" Target="https://my.zakupki.prom.ua/remote/dispatcher/state_contracting_view/8443671" TargetMode="External"/>
  <ns0:Relationship Id="rId166" Type="http://schemas.openxmlformats.org/officeDocument/2006/relationships/hyperlink" Target="https://my.zakupki.prom.ua/remote/dispatcher/state_purchase_view/25060075" TargetMode="External"/>
  <ns0:Relationship Id="rId167" Type="http://schemas.openxmlformats.org/officeDocument/2006/relationships/hyperlink" Target="https://my.zakupki.prom.ua/remote/dispatcher/state_contracting_view/8165693" TargetMode="External"/>
  <ns0:Relationship Id="rId168" Type="http://schemas.openxmlformats.org/officeDocument/2006/relationships/hyperlink" Target="https://my.zakupki.prom.ua/remote/dispatcher/state_purchase_view/27155027" TargetMode="External"/>
  <ns0:Relationship Id="rId169" Type="http://schemas.openxmlformats.org/officeDocument/2006/relationships/hyperlink" Target="https://my.zakupki.prom.ua/remote/dispatcher/state_contracting_view/9522681" TargetMode="External"/>
  <ns0:Relationship Id="rId170" Type="http://schemas.openxmlformats.org/officeDocument/2006/relationships/hyperlink" Target="https://my.zakupki.prom.ua/remote/dispatcher/state_purchase_view/27770999" TargetMode="External"/>
  <ns0:Relationship Id="rId171" Type="http://schemas.openxmlformats.org/officeDocument/2006/relationships/hyperlink" Target="https://my.zakupki.prom.ua/remote/dispatcher/state_contracting_view/9465814" TargetMode="External"/>
  <ns0:Relationship Id="rId172" Type="http://schemas.openxmlformats.org/officeDocument/2006/relationships/hyperlink" Target="https://my.zakupki.prom.ua/remote/dispatcher/state_purchase_view/27776891" TargetMode="External"/>
  <ns0:Relationship Id="rId173" Type="http://schemas.openxmlformats.org/officeDocument/2006/relationships/hyperlink" Target="https://my.zakupki.prom.ua/remote/dispatcher/state_contracting_view/9465316" TargetMode="External"/>
  <ns0:Relationship Id="rId174" Type="http://schemas.openxmlformats.org/officeDocument/2006/relationships/hyperlink" Target="https://my.zakupki.prom.ua/remote/dispatcher/state_purchase_view/27352369" TargetMode="External"/>
  <ns0:Relationship Id="rId175" Type="http://schemas.openxmlformats.org/officeDocument/2006/relationships/hyperlink" Target="https://my.zakupki.prom.ua/remote/dispatcher/state_contracting_view/9259238" TargetMode="External"/>
  <ns0:Relationship Id="rId176" Type="http://schemas.openxmlformats.org/officeDocument/2006/relationships/hyperlink" Target="https://my.zakupki.prom.ua/remote/dispatcher/state_purchase_view/31257278" TargetMode="External"/>
  <ns0:Relationship Id="rId177" Type="http://schemas.openxmlformats.org/officeDocument/2006/relationships/hyperlink" Target="https://my.zakupki.prom.ua/remote/dispatcher/state_contracting_view/11078036" TargetMode="External"/>
  <ns0:Relationship Id="rId178" Type="http://schemas.openxmlformats.org/officeDocument/2006/relationships/hyperlink" Target="https://my.zakupki.prom.ua/remote/dispatcher/state_purchase_view/29433727" TargetMode="External"/>
  <ns0:Relationship Id="rId179" Type="http://schemas.openxmlformats.org/officeDocument/2006/relationships/hyperlink" Target="https://my.zakupki.prom.ua/remote/dispatcher/state_contracting_view/10238627" TargetMode="External"/>
  <ns0:Relationship Id="rId180" Type="http://schemas.openxmlformats.org/officeDocument/2006/relationships/hyperlink" Target="https://my.zakupki.prom.ua/remote/dispatcher/state_purchase_view/29433612" TargetMode="External"/>
  <ns0:Relationship Id="rId181" Type="http://schemas.openxmlformats.org/officeDocument/2006/relationships/hyperlink" Target="https://my.zakupki.prom.ua/remote/dispatcher/state_contracting_view/10238434" TargetMode="External"/>
  <ns0:Relationship Id="rId182" Type="http://schemas.openxmlformats.org/officeDocument/2006/relationships/hyperlink" Target="https://my.zakupki.prom.ua/remote/dispatcher/state_purchase_view/29434086" TargetMode="External"/>
  <ns0:Relationship Id="rId183" Type="http://schemas.openxmlformats.org/officeDocument/2006/relationships/hyperlink" Target="https://my.zakupki.prom.ua/remote/dispatcher/state_contracting_view/10238731" TargetMode="External"/>
  <ns0:Relationship Id="rId184" Type="http://schemas.openxmlformats.org/officeDocument/2006/relationships/hyperlink" Target="https://my.zakupki.prom.ua/remote/dispatcher/state_purchase_view/29430273" TargetMode="External"/>
  <ns0:Relationship Id="rId185" Type="http://schemas.openxmlformats.org/officeDocument/2006/relationships/hyperlink" Target="https://my.zakupki.prom.ua/remote/dispatcher/state_contracting_view/10237077" TargetMode="External"/>
  <ns0:Relationship Id="rId186" Type="http://schemas.openxmlformats.org/officeDocument/2006/relationships/hyperlink" Target="https://my.zakupki.prom.ua/remote/dispatcher/state_purchase_view/29429020" TargetMode="External"/>
  <ns0:Relationship Id="rId187" Type="http://schemas.openxmlformats.org/officeDocument/2006/relationships/hyperlink" Target="https://my.zakupki.prom.ua/remote/dispatcher/state_contracting_view/10236584" TargetMode="External"/>
  <ns0:Relationship Id="rId188" Type="http://schemas.openxmlformats.org/officeDocument/2006/relationships/hyperlink" Target="https://my.zakupki.prom.ua/remote/dispatcher/state_purchase_view/29428745" TargetMode="External"/>
  <ns0:Relationship Id="rId189" Type="http://schemas.openxmlformats.org/officeDocument/2006/relationships/hyperlink" Target="https://my.zakupki.prom.ua/remote/dispatcher/state_contracting_view/10236416" TargetMode="External"/>
  <ns0:Relationship Id="rId190" Type="http://schemas.openxmlformats.org/officeDocument/2006/relationships/hyperlink" Target="https://my.zakupki.prom.ua/remote/dispatcher/state_purchase_view/27744959" TargetMode="External"/>
  <ns0:Relationship Id="rId191" Type="http://schemas.openxmlformats.org/officeDocument/2006/relationships/hyperlink" Target="https://my.zakupki.prom.ua/remote/dispatcher/state_contracting_view/9445159" TargetMode="External"/>
  <ns0:Relationship Id="rId192" Type="http://schemas.openxmlformats.org/officeDocument/2006/relationships/hyperlink" Target="https://my.zakupki.prom.ua/remote/dispatcher/state_purchase_view/30256340" TargetMode="External"/>
  <ns0:Relationship Id="rId193" Type="http://schemas.openxmlformats.org/officeDocument/2006/relationships/hyperlink" Target="https://my.zakupki.prom.ua/remote/dispatcher/state_contracting_view/10618848" TargetMode="External"/>
  <ns0:Relationship Id="rId194" Type="http://schemas.openxmlformats.org/officeDocument/2006/relationships/hyperlink" Target="https://my.zakupki.prom.ua/remote/dispatcher/state_purchase_view/30312303" TargetMode="External"/>
  <ns0:Relationship Id="rId195" Type="http://schemas.openxmlformats.org/officeDocument/2006/relationships/hyperlink" Target="https://my.zakupki.prom.ua/remote/dispatcher/state_contracting_view/10644892" TargetMode="External"/>
  <ns0:Relationship Id="rId196" Type="http://schemas.openxmlformats.org/officeDocument/2006/relationships/hyperlink" Target="https://my.zakupki.prom.ua/remote/dispatcher/state_purchase_view/27063078" TargetMode="External"/>
  <ns0:Relationship Id="rId197" Type="http://schemas.openxmlformats.org/officeDocument/2006/relationships/hyperlink" Target="https://my.zakupki.prom.ua/remote/dispatcher/state_contracting_view/9125521" TargetMode="External"/>
  <ns0:Relationship Id="rId198" Type="http://schemas.openxmlformats.org/officeDocument/2006/relationships/hyperlink" Target="https://my.zakupki.prom.ua/remote/dispatcher/state_purchase_view/27064337" TargetMode="External"/>
  <ns0:Relationship Id="rId199" Type="http://schemas.openxmlformats.org/officeDocument/2006/relationships/hyperlink" Target="https://my.zakupki.prom.ua/remote/dispatcher/state_contracting_view/9125899" TargetMode="External"/>
  <ns0:Relationship Id="rId200" Type="http://schemas.openxmlformats.org/officeDocument/2006/relationships/hyperlink" Target="https://my.zakupki.prom.ua/remote/dispatcher/state_purchase_view/22967979" TargetMode="External"/>
  <ns0:Relationship Id="rId201" Type="http://schemas.openxmlformats.org/officeDocument/2006/relationships/hyperlink" Target="https://my.zakupki.prom.ua/remote/dispatcher/state_contracting_view/7475476" TargetMode="External"/>
  <ns0:Relationship Id="rId202" Type="http://schemas.openxmlformats.org/officeDocument/2006/relationships/hyperlink" Target="https://my.zakupki.prom.ua/remote/dispatcher/state_purchase_view/24898326" TargetMode="External"/>
  <ns0:Relationship Id="rId203" Type="http://schemas.openxmlformats.org/officeDocument/2006/relationships/hyperlink" Target="https://my.zakupki.prom.ua/remote/dispatcher/state_contracting_view/8088392" TargetMode="External"/>
  <ns0:Relationship Id="rId204" Type="http://schemas.openxmlformats.org/officeDocument/2006/relationships/hyperlink" Target="https://my.zakupki.prom.ua/remote/dispatcher/state_purchase_view/26275224" TargetMode="External"/>
  <ns0:Relationship Id="rId205" Type="http://schemas.openxmlformats.org/officeDocument/2006/relationships/hyperlink" Target="https://my.zakupki.prom.ua/remote/dispatcher/state_contracting_view/8746329" TargetMode="External"/>
  <ns0:Relationship Id="rId206" Type="http://schemas.openxmlformats.org/officeDocument/2006/relationships/hyperlink" Target="https://my.zakupki.prom.ua/remote/dispatcher/state_purchase_view/25436464" TargetMode="External"/>
  <ns0:Relationship Id="rId207" Type="http://schemas.openxmlformats.org/officeDocument/2006/relationships/hyperlink" Target="https://my.zakupki.prom.ua/remote/dispatcher/state_contracting_view/8345264" TargetMode="External"/>
  <ns0:Relationship Id="rId208" Type="http://schemas.openxmlformats.org/officeDocument/2006/relationships/hyperlink" Target="https://my.zakupki.prom.ua/remote/dispatcher/state_purchase_view/26612395" TargetMode="External"/>
  <ns0:Relationship Id="rId209" Type="http://schemas.openxmlformats.org/officeDocument/2006/relationships/hyperlink" Target="https://my.zakupki.prom.ua/remote/dispatcher/state_contracting_view/8907359" TargetMode="External"/>
  <ns0:Relationship Id="rId210" Type="http://schemas.openxmlformats.org/officeDocument/2006/relationships/hyperlink" Target="https://my.zakupki.prom.ua/remote/dispatcher/state_purchase_view/26302754" TargetMode="External"/>
  <ns0:Relationship Id="rId211" Type="http://schemas.openxmlformats.org/officeDocument/2006/relationships/hyperlink" Target="https://my.zakupki.prom.ua/remote/dispatcher/state_contracting_view/8774470" TargetMode="External"/>
  <ns0:Relationship Id="rId212" Type="http://schemas.openxmlformats.org/officeDocument/2006/relationships/hyperlink" Target="https://my.zakupki.prom.ua/remote/dispatcher/state_purchase_view/26302252" TargetMode="External"/>
  <ns0:Relationship Id="rId213" Type="http://schemas.openxmlformats.org/officeDocument/2006/relationships/hyperlink" Target="https://my.zakupki.prom.ua/remote/dispatcher/state_contracting_view/8774685" TargetMode="External"/>
  <ns0:Relationship Id="rId214" Type="http://schemas.openxmlformats.org/officeDocument/2006/relationships/hyperlink" Target="https://my.zakupki.prom.ua/remote/dispatcher/state_purchase_view/30255665" TargetMode="External"/>
  <ns0:Relationship Id="rId215" Type="http://schemas.openxmlformats.org/officeDocument/2006/relationships/hyperlink" Target="https://my.zakupki.prom.ua/remote/dispatcher/state_contracting_view/10618197" TargetMode="External"/>
  <ns0:Relationship Id="rId216" Type="http://schemas.openxmlformats.org/officeDocument/2006/relationships/hyperlink" Target="https://my.zakupki.prom.ua/remote/dispatcher/state_purchase_view/30747512" TargetMode="External"/>
  <ns0:Relationship Id="rId217" Type="http://schemas.openxmlformats.org/officeDocument/2006/relationships/hyperlink" Target="https://my.zakupki.prom.ua/remote/dispatcher/state_contracting_view/10844407" TargetMode="External"/>
  <ns0:Relationship Id="rId218" Type="http://schemas.openxmlformats.org/officeDocument/2006/relationships/hyperlink" Target="https://my.zakupki.prom.ua/remote/dispatcher/state_purchase_view/25630259" TargetMode="External"/>
  <ns0:Relationship Id="rId219" Type="http://schemas.openxmlformats.org/officeDocument/2006/relationships/hyperlink" Target="https://my.zakupki.prom.ua/remote/dispatcher/state_contracting_view/8442620" TargetMode="External"/>
  <ns0:Relationship Id="rId220" Type="http://schemas.openxmlformats.org/officeDocument/2006/relationships/hyperlink" Target="https://my.zakupki.prom.ua/remote/dispatcher/state_purchase_view/25631613" TargetMode="External"/>
  <ns0:Relationship Id="rId221" Type="http://schemas.openxmlformats.org/officeDocument/2006/relationships/hyperlink" Target="https://my.zakupki.prom.ua/remote/dispatcher/state_contracting_view/8442784" TargetMode="External"/>
  <ns0:Relationship Id="rId222" Type="http://schemas.openxmlformats.org/officeDocument/2006/relationships/hyperlink" Target="https://my.zakupki.prom.ua/remote/dispatcher/state_purchase_view/25559743" TargetMode="External"/>
  <ns0:Relationship Id="rId223" Type="http://schemas.openxmlformats.org/officeDocument/2006/relationships/hyperlink" Target="https://my.zakupki.prom.ua/remote/dispatcher/state_contracting_view/8405652" TargetMode="External"/>
  <ns0:Relationship Id="rId224" Type="http://schemas.openxmlformats.org/officeDocument/2006/relationships/hyperlink" Target="https://my.zakupki.prom.ua/remote/dispatcher/state_purchase_view/31906559" TargetMode="External"/>
  <ns0:Relationship Id="rId225" Type="http://schemas.openxmlformats.org/officeDocument/2006/relationships/hyperlink" Target="https://my.zakupki.prom.ua/remote/dispatcher/state_contracting_view/11377057" TargetMode="External"/>
  <ns0:Relationship Id="rId226" Type="http://schemas.openxmlformats.org/officeDocument/2006/relationships/hyperlink" Target="https://my.zakupki.prom.ua/remote/dispatcher/state_purchase_view/29514118" TargetMode="External"/>
  <ns0:Relationship Id="rId227" Type="http://schemas.openxmlformats.org/officeDocument/2006/relationships/hyperlink" Target="https://my.zakupki.prom.ua/remote/dispatcher/state_contracting_view/10285082" TargetMode="External"/>
  <ns0:Relationship Id="rId228" Type="http://schemas.openxmlformats.org/officeDocument/2006/relationships/hyperlink" Target="https://my.zakupki.prom.ua/remote/dispatcher/state_purchase_view/32922756" TargetMode="External"/>
  <ns0:Relationship Id="rId229" Type="http://schemas.openxmlformats.org/officeDocument/2006/relationships/hyperlink" Target="https://my.zakupki.prom.ua/remote/dispatcher/state_contracting_view/11847623" TargetMode="External"/>
  <ns0:Relationship Id="rId230" Type="http://schemas.openxmlformats.org/officeDocument/2006/relationships/hyperlink" Target="https://my.zakupki.prom.ua/remote/dispatcher/state_purchase_view/23860695" TargetMode="External"/>
  <ns0:Relationship Id="rId231" Type="http://schemas.openxmlformats.org/officeDocument/2006/relationships/hyperlink" Target="https://my.zakupki.prom.ua/remote/dispatcher/state_contracting_view/7599322" TargetMode="External"/>
  <ns0:Relationship Id="rId232" Type="http://schemas.openxmlformats.org/officeDocument/2006/relationships/hyperlink" Target="https://my.zakupki.prom.ua/remote/dispatcher/state_purchase_view/23200793" TargetMode="External"/>
  <ns0:Relationship Id="rId233" Type="http://schemas.openxmlformats.org/officeDocument/2006/relationships/hyperlink" Target="https://my.zakupki.prom.ua/remote/dispatcher/state_contracting_view/7311740" TargetMode="External"/>
  <ns0:Relationship Id="rId234" Type="http://schemas.openxmlformats.org/officeDocument/2006/relationships/hyperlink" Target="https://my.zakupki.prom.ua/remote/dispatcher/state_purchase_view/22931323" TargetMode="External"/>
  <ns0:Relationship Id="rId235" Type="http://schemas.openxmlformats.org/officeDocument/2006/relationships/hyperlink" Target="https://my.zakupki.prom.ua/remote/dispatcher/state_contracting_view/7213911" TargetMode="External"/>
  <ns0:Relationship Id="rId236" Type="http://schemas.openxmlformats.org/officeDocument/2006/relationships/hyperlink" Target="https://my.zakupki.prom.ua/remote/dispatcher/state_purchase_view/22929263" TargetMode="External"/>
  <ns0:Relationship Id="rId237" Type="http://schemas.openxmlformats.org/officeDocument/2006/relationships/hyperlink" Target="https://my.zakupki.prom.ua/remote/dispatcher/state_contracting_view/7213014" TargetMode="External"/>
  <ns0:Relationship Id="rId238" Type="http://schemas.openxmlformats.org/officeDocument/2006/relationships/hyperlink" Target="https://my.zakupki.prom.ua/remote/dispatcher/state_purchase_view/22928420" TargetMode="External"/>
  <ns0:Relationship Id="rId239" Type="http://schemas.openxmlformats.org/officeDocument/2006/relationships/hyperlink" Target="https://my.zakupki.prom.ua/remote/dispatcher/state_contracting_view/7212699" TargetMode="External"/>
  <ns0:Relationship Id="rId240" Type="http://schemas.openxmlformats.org/officeDocument/2006/relationships/hyperlink" Target="https://my.zakupki.prom.ua/remote/dispatcher/state_purchase_view/25368867" TargetMode="External"/>
  <ns0:Relationship Id="rId241" Type="http://schemas.openxmlformats.org/officeDocument/2006/relationships/hyperlink" Target="https://my.zakupki.prom.ua/remote/dispatcher/state_contracting_view/8313168" TargetMode="External"/>
  <ns0:Relationship Id="rId242" Type="http://schemas.openxmlformats.org/officeDocument/2006/relationships/hyperlink" Target="https://my.zakupki.prom.ua/remote/dispatcher/state_purchase_view/24381988" TargetMode="External"/>
  <ns0:Relationship Id="rId243" Type="http://schemas.openxmlformats.org/officeDocument/2006/relationships/hyperlink" Target="https://my.zakupki.prom.ua/remote/dispatcher/state_contracting_view/7936589" TargetMode="External"/>
  <ns0:Relationship Id="rId244" Type="http://schemas.openxmlformats.org/officeDocument/2006/relationships/hyperlink" Target="https://my.zakupki.prom.ua/remote/dispatcher/state_purchase_view/33444156" TargetMode="External"/>
  <ns0:Relationship Id="rId245" Type="http://schemas.openxmlformats.org/officeDocument/2006/relationships/hyperlink" Target="https://my.zakupki.prom.ua/remote/dispatcher/state_contracting_view/12100059" TargetMode="External"/>
  <ns0:Relationship Id="rId246" Type="http://schemas.openxmlformats.org/officeDocument/2006/relationships/hyperlink" Target="https://my.zakupki.prom.ua/remote/dispatcher/state_purchase_view/33791661" TargetMode="External"/>
  <ns0:Relationship Id="rId247" Type="http://schemas.openxmlformats.org/officeDocument/2006/relationships/hyperlink" Target="https://my.zakupki.prom.ua/remote/dispatcher/state_contracting_view/12272543" TargetMode="External"/>
  <ns0:Relationship Id="rId248" Type="http://schemas.openxmlformats.org/officeDocument/2006/relationships/hyperlink" Target="https://my.zakupki.prom.ua/remote/dispatcher/state_purchase_view/25263494" TargetMode="External"/>
  <ns0:Relationship Id="rId249" Type="http://schemas.openxmlformats.org/officeDocument/2006/relationships/hyperlink" Target="https://my.zakupki.prom.ua/remote/dispatcher/state_contracting_view/8282811" TargetMode="External"/>
  <ns0:Relationship Id="rId250" Type="http://schemas.openxmlformats.org/officeDocument/2006/relationships/hyperlink" Target="https://my.zakupki.prom.ua/remote/dispatcher/state_purchase_view/25254229" TargetMode="External"/>
  <ns0:Relationship Id="rId251" Type="http://schemas.openxmlformats.org/officeDocument/2006/relationships/hyperlink" Target="https://my.zakupki.prom.ua/remote/dispatcher/state_contracting_view/8277004" TargetMode="External"/>
  <ns0:Relationship Id="rId252" Type="http://schemas.openxmlformats.org/officeDocument/2006/relationships/hyperlink" Target="https://my.zakupki.prom.ua/remote/dispatcher/state_purchase_view/25352272" TargetMode="External"/>
  <ns0:Relationship Id="rId253" Type="http://schemas.openxmlformats.org/officeDocument/2006/relationships/hyperlink" Target="https://my.zakupki.prom.ua/remote/dispatcher/state_contracting_view/8305015" TargetMode="External"/>
  <ns0:Relationship Id="rId254" Type="http://schemas.openxmlformats.org/officeDocument/2006/relationships/hyperlink" Target="https://my.zakupki.prom.ua/remote/dispatcher/state_purchase_view/24870539" TargetMode="External"/>
  <ns0:Relationship Id="rId255" Type="http://schemas.openxmlformats.org/officeDocument/2006/relationships/hyperlink" Target="https://my.zakupki.prom.ua/remote/dispatcher/state_contracting_view/8085388" TargetMode="External"/>
  <ns0:Relationship Id="rId256" Type="http://schemas.openxmlformats.org/officeDocument/2006/relationships/hyperlink" Target="https://my.zakupki.prom.ua/remote/dispatcher/state_purchase_view/24870067" TargetMode="External"/>
  <ns0:Relationship Id="rId257" Type="http://schemas.openxmlformats.org/officeDocument/2006/relationships/hyperlink" Target="https://my.zakupki.prom.ua/remote/dispatcher/state_contracting_view/8085273" TargetMode="External"/>
  <ns0:Relationship Id="rId258" Type="http://schemas.openxmlformats.org/officeDocument/2006/relationships/hyperlink" Target="https://my.zakupki.prom.ua/remote/dispatcher/state_purchase_view/24867859" TargetMode="External"/>
  <ns0:Relationship Id="rId259" Type="http://schemas.openxmlformats.org/officeDocument/2006/relationships/hyperlink" Target="https://my.zakupki.prom.ua/remote/dispatcher/state_contracting_view/8085238" TargetMode="External"/>
  <ns0:Relationship Id="rId260" Type="http://schemas.openxmlformats.org/officeDocument/2006/relationships/hyperlink" Target="https://my.zakupki.prom.ua/remote/dispatcher/state_purchase_view/24866451" TargetMode="External"/>
  <ns0:Relationship Id="rId261" Type="http://schemas.openxmlformats.org/officeDocument/2006/relationships/hyperlink" Target="https://my.zakupki.prom.ua/remote/dispatcher/state_contracting_view/8072490" TargetMode="External"/>
  <ns0:Relationship Id="rId262" Type="http://schemas.openxmlformats.org/officeDocument/2006/relationships/hyperlink" Target="https://my.zakupki.prom.ua/remote/dispatcher/state_purchase_view/24788791" TargetMode="External"/>
  <ns0:Relationship Id="rId263" Type="http://schemas.openxmlformats.org/officeDocument/2006/relationships/hyperlink" Target="https://my.zakupki.prom.ua/remote/dispatcher/state_contracting_view/8044440" TargetMode="External"/>
  <ns0:Relationship Id="rId264" Type="http://schemas.openxmlformats.org/officeDocument/2006/relationships/hyperlink" Target="https://my.zakupki.prom.ua/remote/dispatcher/state_purchase_view/24747455" TargetMode="External"/>
  <ns0:Relationship Id="rId265" Type="http://schemas.openxmlformats.org/officeDocument/2006/relationships/hyperlink" Target="https://my.zakupki.prom.ua/remote/dispatcher/state_contracting_view/8021577" TargetMode="External"/>
  <ns0:Relationship Id="rId266" Type="http://schemas.openxmlformats.org/officeDocument/2006/relationships/hyperlink" Target="https://my.zakupki.prom.ua/remote/dispatcher/state_purchase_view/24789268" TargetMode="External"/>
  <ns0:Relationship Id="rId267" Type="http://schemas.openxmlformats.org/officeDocument/2006/relationships/hyperlink" Target="https://my.zakupki.prom.ua/remote/dispatcher/state_contracting_view/8045211" TargetMode="External"/>
  <ns0:Relationship Id="rId268" Type="http://schemas.openxmlformats.org/officeDocument/2006/relationships/hyperlink" Target="https://my.zakupki.prom.ua/remote/dispatcher/state_purchase_view/24742601" TargetMode="External"/>
  <ns0:Relationship Id="rId269" Type="http://schemas.openxmlformats.org/officeDocument/2006/relationships/hyperlink" Target="https://my.zakupki.prom.ua/remote/dispatcher/state_contracting_view/8013548" TargetMode="External"/>
  <ns0:Relationship Id="rId270" Type="http://schemas.openxmlformats.org/officeDocument/2006/relationships/hyperlink" Target="https://my.zakupki.prom.ua/remote/dispatcher/state_purchase_view/25075115" TargetMode="External"/>
  <ns0:Relationship Id="rId271" Type="http://schemas.openxmlformats.org/officeDocument/2006/relationships/hyperlink" Target="https://my.zakupki.prom.ua/remote/dispatcher/state_contracting_view/8180551" TargetMode="External"/>
  <ns0:Relationship Id="rId272" Type="http://schemas.openxmlformats.org/officeDocument/2006/relationships/hyperlink" Target="https://my.zakupki.prom.ua/remote/dispatcher/state_purchase_view/25074872" TargetMode="External"/>
  <ns0:Relationship Id="rId273" Type="http://schemas.openxmlformats.org/officeDocument/2006/relationships/hyperlink" Target="https://my.zakupki.prom.ua/remote/dispatcher/state_contracting_view/8180634" TargetMode="External"/>
  <ns0:Relationship Id="rId274" Type="http://schemas.openxmlformats.org/officeDocument/2006/relationships/hyperlink" Target="https://my.zakupki.prom.ua/remote/dispatcher/state_purchase_view/25061117" TargetMode="External"/>
  <ns0:Relationship Id="rId275" Type="http://schemas.openxmlformats.org/officeDocument/2006/relationships/hyperlink" Target="https://my.zakupki.prom.ua/remote/dispatcher/state_contracting_view/8166305" TargetMode="External"/>
  <ns0:Relationship Id="rId276" Type="http://schemas.openxmlformats.org/officeDocument/2006/relationships/hyperlink" Target="https://my.zakupki.prom.ua/remote/dispatcher/state_purchase_view/24918735" TargetMode="External"/>
  <ns0:Relationship Id="rId277" Type="http://schemas.openxmlformats.org/officeDocument/2006/relationships/hyperlink" Target="https://my.zakupki.prom.ua/remote/dispatcher/state_contracting_view/8113894" TargetMode="External"/>
  <ns0:Relationship Id="rId278" Type="http://schemas.openxmlformats.org/officeDocument/2006/relationships/hyperlink" Target="https://my.zakupki.prom.ua/remote/dispatcher/state_purchase_view/24427536" TargetMode="External"/>
  <ns0:Relationship Id="rId279" Type="http://schemas.openxmlformats.org/officeDocument/2006/relationships/hyperlink" Target="https://my.zakupki.prom.ua/remote/dispatcher/state_contracting_view/8141917" TargetMode="External"/>
  <ns0:Relationship Id="rId280" Type="http://schemas.openxmlformats.org/officeDocument/2006/relationships/hyperlink" Target="https://my.zakupki.prom.ua/remote/dispatcher/state_purchase_view/25255211" TargetMode="External"/>
  <ns0:Relationship Id="rId281" Type="http://schemas.openxmlformats.org/officeDocument/2006/relationships/hyperlink" Target="https://my.zakupki.prom.ua/remote/dispatcher/state_contracting_view/8277487" TargetMode="External"/>
  <ns0:Relationship Id="rId282" Type="http://schemas.openxmlformats.org/officeDocument/2006/relationships/hyperlink" Target="https://my.zakupki.prom.ua/remote/dispatcher/state_purchase_view/25188408" TargetMode="External"/>
  <ns0:Relationship Id="rId283" Type="http://schemas.openxmlformats.org/officeDocument/2006/relationships/hyperlink" Target="https://my.zakupki.prom.ua/remote/dispatcher/state_contracting_view/8235165" TargetMode="External"/>
  <ns0:Relationship Id="rId284" Type="http://schemas.openxmlformats.org/officeDocument/2006/relationships/hyperlink" Target="https://my.zakupki.prom.ua/remote/dispatcher/state_purchase_view/25105001" TargetMode="External"/>
  <ns0:Relationship Id="rId285" Type="http://schemas.openxmlformats.org/officeDocument/2006/relationships/hyperlink" Target="https://my.zakupki.prom.ua/remote/dispatcher/state_contracting_view/8187085" TargetMode="External"/>
  <ns0:Relationship Id="rId286" Type="http://schemas.openxmlformats.org/officeDocument/2006/relationships/hyperlink" Target="https://my.zakupki.prom.ua/remote/dispatcher/state_purchase_view/26612828" TargetMode="External"/>
  <ns0:Relationship Id="rId287" Type="http://schemas.openxmlformats.org/officeDocument/2006/relationships/hyperlink" Target="https://my.zakupki.prom.ua/remote/dispatcher/state_contracting_view/8907444" TargetMode="External"/>
  <ns0:Relationship Id="rId288" Type="http://schemas.openxmlformats.org/officeDocument/2006/relationships/hyperlink" Target="https://my.zakupki.prom.ua/remote/dispatcher/state_purchase_view/26105177" TargetMode="External"/>
  <ns0:Relationship Id="rId289" Type="http://schemas.openxmlformats.org/officeDocument/2006/relationships/hyperlink" Target="https://my.zakupki.prom.ua/remote/dispatcher/state_contracting_view/8663930" TargetMode="External"/>
  <ns0:Relationship Id="rId290" Type="http://schemas.openxmlformats.org/officeDocument/2006/relationships/hyperlink" Target="https://my.zakupki.prom.ua/remote/dispatcher/state_purchase_view/26460369" TargetMode="External"/>
  <ns0:Relationship Id="rId291" Type="http://schemas.openxmlformats.org/officeDocument/2006/relationships/hyperlink" Target="https://my.zakupki.prom.ua/remote/dispatcher/state_contracting_view/8837331" TargetMode="External"/>
  <ns0:Relationship Id="rId292" Type="http://schemas.openxmlformats.org/officeDocument/2006/relationships/hyperlink" Target="https://my.zakupki.prom.ua/remote/dispatcher/state_purchase_view/32214710" TargetMode="External"/>
  <ns0:Relationship Id="rId293" Type="http://schemas.openxmlformats.org/officeDocument/2006/relationships/hyperlink" Target="https://my.zakupki.prom.ua/remote/dispatcher/state_contracting_view/11519617" TargetMode="External"/>
  <ns0:Relationship Id="rId294" Type="http://schemas.openxmlformats.org/officeDocument/2006/relationships/hyperlink" Target="https://my.zakupki.prom.ua/remote/dispatcher/state_purchase_view/30712329" TargetMode="External"/>
  <ns0:Relationship Id="rId295" Type="http://schemas.openxmlformats.org/officeDocument/2006/relationships/hyperlink" Target="https://my.zakupki.prom.ua/remote/dispatcher/state_contracting_view/10839681" TargetMode="External"/>
  <ns0:Relationship Id="rId296" Type="http://schemas.openxmlformats.org/officeDocument/2006/relationships/hyperlink" Target="https://my.zakupki.prom.ua/remote/dispatcher/state_purchase_view/26261153" TargetMode="External"/>
  <ns0:Relationship Id="rId297" Type="http://schemas.openxmlformats.org/officeDocument/2006/relationships/hyperlink" Target="https://my.zakupki.prom.ua/remote/dispatcher/state_contracting_view/8739636" TargetMode="External"/>
  <ns0:Relationship Id="rId298" Type="http://schemas.openxmlformats.org/officeDocument/2006/relationships/hyperlink" Target="https://my.zakupki.prom.ua/remote/dispatcher/state_purchase_view/23413095" TargetMode="External"/>
  <ns0:Relationship Id="rId299" Type="http://schemas.openxmlformats.org/officeDocument/2006/relationships/hyperlink" Target="https://my.zakupki.prom.ua/remote/dispatcher/state_contracting_view/7401631" TargetMode="External"/>
  <ns0:Relationship Id="rId300" Type="http://schemas.openxmlformats.org/officeDocument/2006/relationships/hyperlink" Target="https://my.zakupki.prom.ua/remote/dispatcher/state_purchase_view/29282824" TargetMode="External"/>
  <ns0:Relationship Id="rId301" Type="http://schemas.openxmlformats.org/officeDocument/2006/relationships/hyperlink" Target="https://my.zakupki.prom.ua/remote/dispatcher/state_contracting_view/10168267" TargetMode="External"/>
  <ns0:Relationship Id="rId302" Type="http://schemas.openxmlformats.org/officeDocument/2006/relationships/hyperlink" Target="https://my.zakupki.prom.ua/remote/dispatcher/state_purchase_view/27904214" TargetMode="External"/>
  <ns0:Relationship Id="rId303" Type="http://schemas.openxmlformats.org/officeDocument/2006/relationships/hyperlink" Target="https://my.zakupki.prom.ua/remote/dispatcher/state_contracting_view/9521664" TargetMode="External"/>
  <ns0:Relationship Id="rId304" Type="http://schemas.openxmlformats.org/officeDocument/2006/relationships/hyperlink" Target="https://my.zakupki.prom.ua/remote/dispatcher/state_purchase_view/30809559" TargetMode="External"/>
  <ns0:Relationship Id="rId305" Type="http://schemas.openxmlformats.org/officeDocument/2006/relationships/hyperlink" Target="https://my.zakupki.prom.ua/remote/dispatcher/state_contracting_view/10892058" TargetMode="External"/>
  <ns0:Relationship Id="rId306" Type="http://schemas.openxmlformats.org/officeDocument/2006/relationships/hyperlink" Target="https://my.zakupki.prom.ua/remote/dispatcher/state_purchase_view/26051362" TargetMode="External"/>
  <ns0:Relationship Id="rId307" Type="http://schemas.openxmlformats.org/officeDocument/2006/relationships/hyperlink" Target="https://my.zakupki.prom.ua/remote/dispatcher/state_contracting_view/8638149" TargetMode="External"/>
  <ns0:Relationship Id="rId308" Type="http://schemas.openxmlformats.org/officeDocument/2006/relationships/hyperlink" Target="https://my.zakupki.prom.ua/remote/dispatcher/state_purchase_view/25554565" TargetMode="External"/>
  <ns0:Relationship Id="rId309" Type="http://schemas.openxmlformats.org/officeDocument/2006/relationships/hyperlink" Target="https://my.zakupki.prom.ua/remote/dispatcher/state_contracting_view/8401334" TargetMode="External"/>
  <ns0:Relationship Id="rId310" Type="http://schemas.openxmlformats.org/officeDocument/2006/relationships/hyperlink" Target="https://my.zakupki.prom.ua/remote/dispatcher/state_purchase_view/31611500" TargetMode="External"/>
  <ns0:Relationship Id="rId311" Type="http://schemas.openxmlformats.org/officeDocument/2006/relationships/hyperlink" Target="https://my.zakupki.prom.ua/remote/dispatcher/state_contracting_view/11244351" TargetMode="External"/>
  <ns0:Relationship Id="rId312" Type="http://schemas.openxmlformats.org/officeDocument/2006/relationships/hyperlink" Target="https://my.zakupki.prom.ua/remote/dispatcher/state_purchase_view/30587346" TargetMode="External"/>
  <ns0:Relationship Id="rId313" Type="http://schemas.openxmlformats.org/officeDocument/2006/relationships/hyperlink" Target="https://my.zakupki.prom.ua/remote/dispatcher/state_contracting_view/10770464" TargetMode="External"/>
  <ns0:Relationship Id="rId314" Type="http://schemas.openxmlformats.org/officeDocument/2006/relationships/hyperlink" Target="https://my.zakupki.prom.ua/remote/dispatcher/state_purchase_view/31813018" TargetMode="External"/>
  <ns0:Relationship Id="rId315" Type="http://schemas.openxmlformats.org/officeDocument/2006/relationships/hyperlink" Target="https://my.zakupki.prom.ua/remote/dispatcher/state_contracting_view/11362930" TargetMode="External"/>
  <ns0:Relationship Id="rId316" Type="http://schemas.openxmlformats.org/officeDocument/2006/relationships/hyperlink" Target="https://my.zakupki.prom.ua/remote/dispatcher/state_purchase_view/33228256" TargetMode="External"/>
  <ns0:Relationship Id="rId317" Type="http://schemas.openxmlformats.org/officeDocument/2006/relationships/hyperlink" Target="https://my.zakupki.prom.ua/remote/dispatcher/state_contracting_view/11995073" TargetMode="External"/>
  <ns0:Relationship Id="rId318" Type="http://schemas.openxmlformats.org/officeDocument/2006/relationships/hyperlink" Target="https://my.zakupki.prom.ua/remote/dispatcher/state_purchase_view/32653752" TargetMode="External"/>
  <ns0:Relationship Id="rId319" Type="http://schemas.openxmlformats.org/officeDocument/2006/relationships/hyperlink" Target="https://my.zakupki.prom.ua/remote/dispatcher/state_contracting_view/11720915" TargetMode="External"/>
  <ns0:Relationship Id="rId320" Type="http://schemas.openxmlformats.org/officeDocument/2006/relationships/hyperlink" Target="https://my.zakupki.prom.ua/remote/dispatcher/state_purchase_view/26726459" TargetMode="External"/>
  <ns0:Relationship Id="rId321" Type="http://schemas.openxmlformats.org/officeDocument/2006/relationships/hyperlink" Target="https://my.zakupki.prom.ua/remote/dispatcher/state_contracting_view/8969025" TargetMode="External"/>
  <ns0:Relationship Id="rId322" Type="http://schemas.openxmlformats.org/officeDocument/2006/relationships/hyperlink" Target="https://my.zakupki.prom.ua/remote/dispatcher/state_purchase_view/30149772" TargetMode="External"/>
  <ns0:Relationship Id="rId323" Type="http://schemas.openxmlformats.org/officeDocument/2006/relationships/hyperlink" Target="https://my.zakupki.prom.ua/remote/dispatcher/state_contracting_view/10568959" TargetMode="External"/>
  <ns0:Relationship Id="rId324" Type="http://schemas.openxmlformats.org/officeDocument/2006/relationships/hyperlink" Target="https://my.zakupki.prom.ua/remote/dispatcher/state_purchase_view/30154162" TargetMode="External"/>
  <ns0:Relationship Id="rId325" Type="http://schemas.openxmlformats.org/officeDocument/2006/relationships/hyperlink" Target="https://my.zakupki.prom.ua/remote/dispatcher/state_contracting_view/10571117" TargetMode="External"/>
  <ns0:Relationship Id="rId326" Type="http://schemas.openxmlformats.org/officeDocument/2006/relationships/hyperlink" Target="https://my.zakupki.prom.ua/remote/dispatcher/state_purchase_view/29434890" TargetMode="External"/>
  <ns0:Relationship Id="rId327" Type="http://schemas.openxmlformats.org/officeDocument/2006/relationships/hyperlink" Target="https://my.zakupki.prom.ua/remote/dispatcher/state_contracting_view/10239337" TargetMode="External"/>
  <ns0:Relationship Id="rId328" Type="http://schemas.openxmlformats.org/officeDocument/2006/relationships/hyperlink" Target="https://my.zakupki.prom.ua/remote/dispatcher/state_purchase_view/27811366" TargetMode="External"/>
  <ns0:Relationship Id="rId329" Type="http://schemas.openxmlformats.org/officeDocument/2006/relationships/hyperlink" Target="https://my.zakupki.prom.ua/remote/dispatcher/state_contracting_view/9641753" TargetMode="External"/>
  <ns0:Relationship Id="rId330" Type="http://schemas.openxmlformats.org/officeDocument/2006/relationships/hyperlink" Target="https://my.zakupki.prom.ua/remote/dispatcher/state_purchase_view/27770647" TargetMode="External"/>
  <ns0:Relationship Id="rId331" Type="http://schemas.openxmlformats.org/officeDocument/2006/relationships/hyperlink" Target="https://my.zakupki.prom.ua/remote/dispatcher/state_contracting_view/9466218" TargetMode="External"/>
  <ns0:Relationship Id="rId332" Type="http://schemas.openxmlformats.org/officeDocument/2006/relationships/hyperlink" Target="https://my.zakupki.prom.ua/remote/dispatcher/state_purchase_view/27313725" TargetMode="External"/>
  <ns0:Relationship Id="rId333" Type="http://schemas.openxmlformats.org/officeDocument/2006/relationships/hyperlink" Target="https://my.zakupki.prom.ua/remote/dispatcher/state_contracting_view/9240393" TargetMode="External"/>
  <ns0:Relationship Id="rId334" Type="http://schemas.openxmlformats.org/officeDocument/2006/relationships/hyperlink" Target="https://my.zakupki.prom.ua/remote/dispatcher/state_purchase_view/27299545" TargetMode="External"/>
  <ns0:Relationship Id="rId335" Type="http://schemas.openxmlformats.org/officeDocument/2006/relationships/hyperlink" Target="https://my.zakupki.prom.ua/remote/dispatcher/state_contracting_view/9233658" TargetMode="External"/>
  <ns0:Relationship Id="rId336" Type="http://schemas.openxmlformats.org/officeDocument/2006/relationships/hyperlink" Target="https://my.zakupki.prom.ua/remote/dispatcher/state_purchase_view/26546356" TargetMode="External"/>
  <ns0:Relationship Id="rId337" Type="http://schemas.openxmlformats.org/officeDocument/2006/relationships/hyperlink" Target="https://my.zakupki.prom.ua/remote/dispatcher/state_contracting_view/9151186" TargetMode="External"/>
  <ns0:Relationship Id="rId338" Type="http://schemas.openxmlformats.org/officeDocument/2006/relationships/hyperlink" Target="https://my.zakupki.prom.ua/remote/dispatcher/state_purchase_view/25484361" TargetMode="External"/>
  <ns0:Relationship Id="rId339" Type="http://schemas.openxmlformats.org/officeDocument/2006/relationships/hyperlink" Target="https://my.zakupki.prom.ua/remote/dispatcher/state_contracting_view/8370861" TargetMode="External"/>
  <ns0:Relationship Id="rId340" Type="http://schemas.openxmlformats.org/officeDocument/2006/relationships/hyperlink" Target="https://my.zakupki.prom.ua/remote/dispatcher/state_purchase_view/25486497" TargetMode="External"/>
  <ns0:Relationship Id="rId341" Type="http://schemas.openxmlformats.org/officeDocument/2006/relationships/hyperlink" Target="https://my.zakupki.prom.ua/remote/dispatcher/state_contracting_view/8371785" TargetMode="External"/>
  <ns0:Relationship Id="rId342" Type="http://schemas.openxmlformats.org/officeDocument/2006/relationships/hyperlink" Target="https://my.zakupki.prom.ua/remote/dispatcher/state_purchase_view/28572919" TargetMode="External"/>
  <ns0:Relationship Id="rId343" Type="http://schemas.openxmlformats.org/officeDocument/2006/relationships/hyperlink" Target="https://my.zakupki.prom.ua/remote/dispatcher/state_contracting_view/9837156" TargetMode="External"/>
  <ns0:Relationship Id="rId344" Type="http://schemas.openxmlformats.org/officeDocument/2006/relationships/hyperlink" Target="https://my.zakupki.prom.ua/remote/dispatcher/state_purchase_view/28458578" TargetMode="External"/>
  <ns0:Relationship Id="rId345" Type="http://schemas.openxmlformats.org/officeDocument/2006/relationships/hyperlink" Target="https://my.zakupki.prom.ua/remote/dispatcher/state_contracting_view/9782827" TargetMode="External"/>
  <ns0:Relationship Id="rId346" Type="http://schemas.openxmlformats.org/officeDocument/2006/relationships/hyperlink" Target="https://my.zakupki.prom.ua/remote/dispatcher/state_purchase_view/30287828" TargetMode="External"/>
  <ns0:Relationship Id="rId347" Type="http://schemas.openxmlformats.org/officeDocument/2006/relationships/hyperlink" Target="https://my.zakupki.prom.ua/remote/dispatcher/state_contracting_view/10633066" TargetMode="External"/>
  <ns0:Relationship Id="rId348" Type="http://schemas.openxmlformats.org/officeDocument/2006/relationships/hyperlink" Target="https://my.zakupki.prom.ua/remote/dispatcher/state_purchase_view/25873786" TargetMode="External"/>
  <ns0:Relationship Id="rId349" Type="http://schemas.openxmlformats.org/officeDocument/2006/relationships/hyperlink" Target="https://my.zakupki.prom.ua/remote/dispatcher/state_contracting_view/8786616" TargetMode="External"/>
  <ns0:Relationship Id="rId350" Type="http://schemas.openxmlformats.org/officeDocument/2006/relationships/hyperlink" Target="https://my.zakupki.prom.ua/remote/dispatcher/state_purchase_view/29433244" TargetMode="External"/>
  <ns0:Relationship Id="rId351" Type="http://schemas.openxmlformats.org/officeDocument/2006/relationships/hyperlink" Target="https://my.zakupki.prom.ua/remote/dispatcher/state_contracting_view/10238349" TargetMode="External"/>
  <ns0:Relationship Id="rId352" Type="http://schemas.openxmlformats.org/officeDocument/2006/relationships/hyperlink" Target="https://my.zakupki.prom.ua/remote/dispatcher/state_purchase_view/25587209" TargetMode="External"/>
  <ns0:Relationship Id="rId353" Type="http://schemas.openxmlformats.org/officeDocument/2006/relationships/hyperlink" Target="https://my.zakupki.prom.ua/remote/dispatcher/state_contracting_view/8416905" TargetMode="External"/>
  <ns0:Relationship Id="rId354" Type="http://schemas.openxmlformats.org/officeDocument/2006/relationships/hyperlink" Target="https://my.zakupki.prom.ua/remote/dispatcher/state_purchase_view/28021875" TargetMode="External"/>
  <ns0:Relationship Id="rId355" Type="http://schemas.openxmlformats.org/officeDocument/2006/relationships/hyperlink" Target="https://my.zakupki.prom.ua/remote/dispatcher/state_contracting_view/9577502" TargetMode="External"/>
  <ns0:Relationship Id="rId356" Type="http://schemas.openxmlformats.org/officeDocument/2006/relationships/hyperlink" Target="https://my.zakupki.prom.ua/remote/dispatcher/state_purchase_view/32149054" TargetMode="External"/>
  <ns0:Relationship Id="rId357" Type="http://schemas.openxmlformats.org/officeDocument/2006/relationships/hyperlink" Target="https://my.zakupki.prom.ua/remote/dispatcher/state_contracting_view/12086595" TargetMode="External"/>
  <ns0:Relationship Id="rId358" Type="http://schemas.openxmlformats.org/officeDocument/2006/relationships/hyperlink" Target="https://my.zakupki.prom.ua/remote/dispatcher/state_purchase_view/26415279" TargetMode="External"/>
  <ns0:Relationship Id="rId359" Type="http://schemas.openxmlformats.org/officeDocument/2006/relationships/hyperlink" Target="https://my.zakupki.prom.ua/remote/dispatcher/state_contracting_view/8814148" TargetMode="External"/>
  <ns0:Relationship Id="rId360" Type="http://schemas.openxmlformats.org/officeDocument/2006/relationships/hyperlink" Target="https://my.zakupki.prom.ua/remote/dispatcher/state_purchase_view/26335918" TargetMode="External"/>
  <ns0:Relationship Id="rId361" Type="http://schemas.openxmlformats.org/officeDocument/2006/relationships/hyperlink" Target="https://my.zakupki.prom.ua/remote/dispatcher/state_contracting_view/8777889" TargetMode="External"/>
  <ns0:Relationship Id="rId362" Type="http://schemas.openxmlformats.org/officeDocument/2006/relationships/hyperlink" Target="https://my.zakupki.prom.ua/remote/dispatcher/state_purchase_view/26603438" TargetMode="External"/>
  <ns0:Relationship Id="rId363" Type="http://schemas.openxmlformats.org/officeDocument/2006/relationships/hyperlink" Target="https://my.zakupki.prom.ua/remote/dispatcher/state_contracting_view/8903063" TargetMode="External"/>
  <ns0:Relationship Id="rId364" Type="http://schemas.openxmlformats.org/officeDocument/2006/relationships/hyperlink" Target="https://my.zakupki.prom.ua/remote/dispatcher/state_purchase_view/25603824" TargetMode="External"/>
  <ns0:Relationship Id="rId365" Type="http://schemas.openxmlformats.org/officeDocument/2006/relationships/hyperlink" Target="https://my.zakupki.prom.ua/remote/dispatcher/state_contracting_view/8425409" TargetMode="External"/>
  <ns0:Relationship Id="rId366" Type="http://schemas.openxmlformats.org/officeDocument/2006/relationships/hyperlink" Target="https://my.zakupki.prom.ua/remote/dispatcher/state_purchase_view/25590619" TargetMode="External"/>
  <ns0:Relationship Id="rId367" Type="http://schemas.openxmlformats.org/officeDocument/2006/relationships/hyperlink" Target="https://my.zakupki.prom.ua/remote/dispatcher/state_contracting_view/8419944" TargetMode="External"/>
  <ns0:Relationship Id="rId368" Type="http://schemas.openxmlformats.org/officeDocument/2006/relationships/hyperlink" Target="https://my.zakupki.prom.ua/remote/dispatcher/state_purchase_view/25532391" TargetMode="External"/>
  <ns0:Relationship Id="rId369" Type="http://schemas.openxmlformats.org/officeDocument/2006/relationships/hyperlink" Target="https://my.zakupki.prom.ua/remote/dispatcher/state_contracting_view/8390779" TargetMode="External"/>
  <ns0:Relationship Id="rId370" Type="http://schemas.openxmlformats.org/officeDocument/2006/relationships/hyperlink" Target="https://my.zakupki.prom.ua/remote/dispatcher/state_purchase_view/25526328" TargetMode="External"/>
  <ns0:Relationship Id="rId371" Type="http://schemas.openxmlformats.org/officeDocument/2006/relationships/hyperlink" Target="https://my.zakupki.prom.ua/remote/dispatcher/state_contracting_view/8387593" TargetMode="External"/>
  <ns0:Relationship Id="rId372" Type="http://schemas.openxmlformats.org/officeDocument/2006/relationships/hyperlink" Target="https://my.zakupki.prom.ua/remote/dispatcher/state_purchase_view/31748146" TargetMode="External"/>
  <ns0:Relationship Id="rId373" Type="http://schemas.openxmlformats.org/officeDocument/2006/relationships/hyperlink" Target="https://my.zakupki.prom.ua/remote/dispatcher/state_contracting_view/11882730" TargetMode="External"/>
  <ns0:Relationship Id="rId374" Type="http://schemas.openxmlformats.org/officeDocument/2006/relationships/hyperlink" Target="https://my.zakupki.prom.ua/remote/dispatcher/state_purchase_view/23997389" TargetMode="External"/>
  <ns0:Relationship Id="rId375" Type="http://schemas.openxmlformats.org/officeDocument/2006/relationships/hyperlink" Target="https://my.zakupki.prom.ua/remote/dispatcher/state_contracting_view/7665128" TargetMode="External"/>
  <ns0:Relationship Id="rId376" Type="http://schemas.openxmlformats.org/officeDocument/2006/relationships/hyperlink" Target="https://my.zakupki.prom.ua/remote/dispatcher/state_purchase_view/26359031" TargetMode="External"/>
  <ns0:Relationship Id="rId377" Type="http://schemas.openxmlformats.org/officeDocument/2006/relationships/hyperlink" Target="https://my.zakupki.prom.ua/remote/dispatcher/state_contracting_view/8786781" TargetMode="External"/>
  <ns0:Relationship Id="rId378" Type="http://schemas.openxmlformats.org/officeDocument/2006/relationships/hyperlink" Target="https://my.zakupki.prom.ua/remote/dispatcher/state_purchase_view/26052366" TargetMode="External"/>
  <ns0:Relationship Id="rId379" Type="http://schemas.openxmlformats.org/officeDocument/2006/relationships/hyperlink" Target="https://my.zakupki.prom.ua/remote/dispatcher/state_contracting_view/8638488" TargetMode="External"/>
  <ns0:Relationship Id="rId380" Type="http://schemas.openxmlformats.org/officeDocument/2006/relationships/hyperlink" Target="https://my.zakupki.prom.ua/remote/dispatcher/state_purchase_view/23523657" TargetMode="External"/>
  <ns0:Relationship Id="rId381" Type="http://schemas.openxmlformats.org/officeDocument/2006/relationships/hyperlink" Target="https://my.zakupki.prom.ua/remote/dispatcher/state_contracting_view/7448710" TargetMode="External"/>
  <ns0:Relationship Id="rId382" Type="http://schemas.openxmlformats.org/officeDocument/2006/relationships/hyperlink" Target="https://my.zakupki.prom.ua/remote/dispatcher/state_purchase_view/32440736" TargetMode="External"/>
  <ns0:Relationship Id="rId383" Type="http://schemas.openxmlformats.org/officeDocument/2006/relationships/hyperlink" Target="https://my.zakupki.prom.ua/remote/dispatcher/state_contracting_view/11623886" TargetMode="External"/>
  <ns0:Relationship Id="rId384" Type="http://schemas.openxmlformats.org/officeDocument/2006/relationships/hyperlink" Target="https://my.zakupki.prom.ua/remote/dispatcher/state_purchase_view/31659016" TargetMode="External"/>
  <ns0:Relationship Id="rId385" Type="http://schemas.openxmlformats.org/officeDocument/2006/relationships/hyperlink" Target="https://my.zakupki.prom.ua/remote/dispatcher/state_contracting_view/11262145" TargetMode="External"/>
  <ns0:Relationship Id="rId386" Type="http://schemas.openxmlformats.org/officeDocument/2006/relationships/hyperlink" Target="https://my.zakupki.prom.ua/remote/dispatcher/state_purchase_view/24973439" TargetMode="External"/>
  <ns0:Relationship Id="rId387" Type="http://schemas.openxmlformats.org/officeDocument/2006/relationships/hyperlink" Target="https://my.zakupki.prom.ua/remote/dispatcher/state_contracting_view/8124355" TargetMode="External"/>
  <ns0:Relationship Id="rId388" Type="http://schemas.openxmlformats.org/officeDocument/2006/relationships/hyperlink" Target="https://my.zakupki.prom.ua/remote/dispatcher/state_purchase_view/25076825" TargetMode="External"/>
  <ns0:Relationship Id="rId389" Type="http://schemas.openxmlformats.org/officeDocument/2006/relationships/hyperlink" Target="https://my.zakupki.prom.ua/remote/dispatcher/state_contracting_view/8181161" TargetMode="External"/>
  <ns0:Relationship Id="rId390" Type="http://schemas.openxmlformats.org/officeDocument/2006/relationships/hyperlink" Target="https://my.zakupki.prom.ua/remote/dispatcher/state_purchase_view/25120018" TargetMode="External"/>
  <ns0:Relationship Id="rId391" Type="http://schemas.openxmlformats.org/officeDocument/2006/relationships/hyperlink" Target="https://my.zakupki.prom.ua/remote/dispatcher/state_contracting_view/8201676" TargetMode="External"/>
  <ns0:Relationship Id="rId392" Type="http://schemas.openxmlformats.org/officeDocument/2006/relationships/hyperlink" Target="https://my.zakupki.prom.ua/remote/dispatcher/state_purchase_view/25080801" TargetMode="External"/>
  <ns0:Relationship Id="rId393" Type="http://schemas.openxmlformats.org/officeDocument/2006/relationships/hyperlink" Target="https://my.zakupki.prom.ua/remote/dispatcher/state_contracting_view/8181297" TargetMode="External"/>
  <ns0:Relationship Id="rId394" Type="http://schemas.openxmlformats.org/officeDocument/2006/relationships/hyperlink" Target="https://my.zakupki.prom.ua/remote/dispatcher/state_purchase_view/26454813" TargetMode="External"/>
  <ns0:Relationship Id="rId395" Type="http://schemas.openxmlformats.org/officeDocument/2006/relationships/hyperlink" Target="https://my.zakupki.prom.ua/remote/dispatcher/state_contracting_view/8833365" TargetMode="External"/>
  <ns0:Relationship Id="rId396" Type="http://schemas.openxmlformats.org/officeDocument/2006/relationships/hyperlink" Target="https://my.zakupki.prom.ua/remote/dispatcher/state_purchase_view/26260775" TargetMode="External"/>
  <ns0:Relationship Id="rId397" Type="http://schemas.openxmlformats.org/officeDocument/2006/relationships/hyperlink" Target="https://my.zakupki.prom.ua/remote/dispatcher/state_contracting_view/8739642" TargetMode="External"/>
  <ns0:Relationship Id="rId398" Type="http://schemas.openxmlformats.org/officeDocument/2006/relationships/hyperlink" Target="https://my.zakupki.prom.ua/remote/dispatcher/state_purchase_view/26257276" TargetMode="External"/>
  <ns0:Relationship Id="rId399" Type="http://schemas.openxmlformats.org/officeDocument/2006/relationships/hyperlink" Target="https://my.zakupki.prom.ua/remote/dispatcher/state_contracting_view/8739110" TargetMode="External"/>
  <ns0:Relationship Id="rId400" Type="http://schemas.openxmlformats.org/officeDocument/2006/relationships/hyperlink" Target="https://my.zakupki.prom.ua/remote/dispatcher/state_purchase_view/26442737" TargetMode="External"/>
  <ns0:Relationship Id="rId401" Type="http://schemas.openxmlformats.org/officeDocument/2006/relationships/hyperlink" Target="https://my.zakupki.prom.ua/remote/dispatcher/state_contracting_view/8829527" TargetMode="External"/>
  <ns0:Relationship Id="rId402" Type="http://schemas.openxmlformats.org/officeDocument/2006/relationships/hyperlink" Target="https://my.zakupki.prom.ua/remote/dispatcher/state_purchase_view/26335055" TargetMode="External"/>
  <ns0:Relationship Id="rId403" Type="http://schemas.openxmlformats.org/officeDocument/2006/relationships/hyperlink" Target="https://my.zakupki.prom.ua/remote/dispatcher/state_contracting_view/8777390" TargetMode="External"/>
  <ns0:Relationship Id="rId404" Type="http://schemas.openxmlformats.org/officeDocument/2006/relationships/hyperlink" Target="https://my.zakupki.prom.ua/remote/dispatcher/state_purchase_view/26304681" TargetMode="External"/>
  <ns0:Relationship Id="rId405" Type="http://schemas.openxmlformats.org/officeDocument/2006/relationships/hyperlink" Target="https://my.zakupki.prom.ua/remote/dispatcher/state_contracting_view/8774287" TargetMode="External"/>
  <ns0:Relationship Id="rId406" Type="http://schemas.openxmlformats.org/officeDocument/2006/relationships/hyperlink" Target="https://my.zakupki.prom.ua/remote/dispatcher/state_purchase_view/26711183" TargetMode="External"/>
  <ns0:Relationship Id="rId407" Type="http://schemas.openxmlformats.org/officeDocument/2006/relationships/hyperlink" Target="https://my.zakupki.prom.ua/remote/dispatcher/state_contracting_view/8954308" TargetMode="External"/>
  <ns0:Relationship Id="rId408" Type="http://schemas.openxmlformats.org/officeDocument/2006/relationships/hyperlink" Target="https://my.zakupki.prom.ua/remote/dispatcher/state_purchase_view/27771417" TargetMode="External"/>
  <ns0:Relationship Id="rId409" Type="http://schemas.openxmlformats.org/officeDocument/2006/relationships/hyperlink" Target="https://my.zakupki.prom.ua/remote/dispatcher/state_contracting_view/9465776" TargetMode="External"/>
  <ns0:Relationship Id="rId410" Type="http://schemas.openxmlformats.org/officeDocument/2006/relationships/hyperlink" Target="https://my.zakupki.prom.ua/remote/dispatcher/state_purchase_view/27779146" TargetMode="External"/>
  <ns0:Relationship Id="rId411" Type="http://schemas.openxmlformats.org/officeDocument/2006/relationships/hyperlink" Target="https://my.zakupki.prom.ua/remote/dispatcher/state_contracting_view/9464279" TargetMode="External"/>
  <ns0:Relationship Id="rId412" Type="http://schemas.openxmlformats.org/officeDocument/2006/relationships/hyperlink" Target="https://my.zakupki.prom.ua/remote/dispatcher/state_purchase_view/27778072" TargetMode="External"/>
  <ns0:Relationship Id="rId413" Type="http://schemas.openxmlformats.org/officeDocument/2006/relationships/hyperlink" Target="https://my.zakupki.prom.ua/remote/dispatcher/state_contracting_view/9464606" TargetMode="External"/>
  <ns0:Relationship Id="rId414" Type="http://schemas.openxmlformats.org/officeDocument/2006/relationships/hyperlink" Target="https://my.zakupki.prom.ua/remote/dispatcher/state_purchase_view/27778543" TargetMode="External"/>
  <ns0:Relationship Id="rId415" Type="http://schemas.openxmlformats.org/officeDocument/2006/relationships/hyperlink" Target="https://my.zakupki.prom.ua/remote/dispatcher/state_contracting_view/9464324" TargetMode="External"/>
  <ns0:Relationship Id="rId416" Type="http://schemas.openxmlformats.org/officeDocument/2006/relationships/hyperlink" Target="https://my.zakupki.prom.ua/remote/dispatcher/state_purchase_view/27366208" TargetMode="External"/>
  <ns0:Relationship Id="rId417" Type="http://schemas.openxmlformats.org/officeDocument/2006/relationships/hyperlink" Target="https://my.zakupki.prom.ua/remote/dispatcher/state_contracting_view/9264855" TargetMode="External"/>
  <ns0:Relationship Id="rId418" Type="http://schemas.openxmlformats.org/officeDocument/2006/relationships/hyperlink" Target="https://my.zakupki.prom.ua/remote/dispatcher/state_purchase_view/27358121" TargetMode="External"/>
  <ns0:Relationship Id="rId419" Type="http://schemas.openxmlformats.org/officeDocument/2006/relationships/hyperlink" Target="https://my.zakupki.prom.ua/remote/dispatcher/state_contracting_view/9261463" TargetMode="External"/>
  <ns0:Relationship Id="rId420" Type="http://schemas.openxmlformats.org/officeDocument/2006/relationships/hyperlink" Target="https://my.zakupki.prom.ua/remote/dispatcher/state_purchase_view/31535229" TargetMode="External"/>
  <ns0:Relationship Id="rId421" Type="http://schemas.openxmlformats.org/officeDocument/2006/relationships/hyperlink" Target="https://my.zakupki.prom.ua/remote/dispatcher/state_contracting_view/11415233" TargetMode="External"/>
  <ns0:Relationship Id="rId422" Type="http://schemas.openxmlformats.org/officeDocument/2006/relationships/hyperlink" Target="https://my.zakupki.prom.ua/remote/dispatcher/state_purchase_view/23799568" TargetMode="External"/>
  <ns0:Relationship Id="rId423" Type="http://schemas.openxmlformats.org/officeDocument/2006/relationships/hyperlink" Target="https://my.zakupki.prom.ua/remote/dispatcher/state_contracting_view/7771344" TargetMode="External"/>
  <ns0:Relationship Id="rId424" Type="http://schemas.openxmlformats.org/officeDocument/2006/relationships/hyperlink" Target="https://my.zakupki.prom.ua/remote/dispatcher/state_purchase_view/25366827" TargetMode="External"/>
  <ns0:Relationship Id="rId425" Type="http://schemas.openxmlformats.org/officeDocument/2006/relationships/hyperlink" Target="https://my.zakupki.prom.ua/remote/dispatcher/state_contracting_view/8312362" TargetMode="External"/>
  <ns0:Relationship Id="rId426" Type="http://schemas.openxmlformats.org/officeDocument/2006/relationships/hyperlink" Target="https://my.zakupki.prom.ua/remote/dispatcher/state_purchase_view/30289335" TargetMode="External"/>
  <ns0:Relationship Id="rId427" Type="http://schemas.openxmlformats.org/officeDocument/2006/relationships/hyperlink" Target="https://my.zakupki.prom.ua/remote/dispatcher/state_contracting_view/10633971" TargetMode="External"/>
  <ns0:Relationship Id="rId428" Type="http://schemas.openxmlformats.org/officeDocument/2006/relationships/hyperlink" Target="https://my.zakupki.prom.ua/remote/dispatcher/state_purchase_view/30291508" TargetMode="External"/>
  <ns0:Relationship Id="rId429" Type="http://schemas.openxmlformats.org/officeDocument/2006/relationships/hyperlink" Target="https://my.zakupki.prom.ua/remote/dispatcher/state_contracting_view/10634890" TargetMode="External"/>
  <ns0:Relationship Id="rId430" Type="http://schemas.openxmlformats.org/officeDocument/2006/relationships/hyperlink" Target="https://my.zakupki.prom.ua/remote/dispatcher/state_purchase_view/29986735" TargetMode="External"/>
  <ns0:Relationship Id="rId431" Type="http://schemas.openxmlformats.org/officeDocument/2006/relationships/hyperlink" Target="https://my.zakupki.prom.ua/remote/dispatcher/state_contracting_view/10494150" TargetMode="External"/>
  <ns0:Relationship Id="rId432" Type="http://schemas.openxmlformats.org/officeDocument/2006/relationships/hyperlink" Target="https://my.zakupki.prom.ua/remote/dispatcher/state_purchase_view/24719063" TargetMode="External"/>
  <ns0:Relationship Id="rId433" Type="http://schemas.openxmlformats.org/officeDocument/2006/relationships/hyperlink" Target="https://my.zakupki.prom.ua/remote/dispatcher/state_contracting_view/8002109" TargetMode="External"/>
  <ns0:Relationship Id="rId434" Type="http://schemas.openxmlformats.org/officeDocument/2006/relationships/hyperlink" Target="https://my.zakupki.prom.ua/remote/dispatcher/state_purchase_view/24581817" TargetMode="External"/>
  <ns0:Relationship Id="rId435" Type="http://schemas.openxmlformats.org/officeDocument/2006/relationships/hyperlink" Target="https://my.zakupki.prom.ua/remote/dispatcher/state_contracting_view/7942739" TargetMode="External"/>
  <ns0:Relationship Id="rId436" Type="http://schemas.openxmlformats.org/officeDocument/2006/relationships/hyperlink" Target="https://my.zakupki.prom.ua/remote/dispatcher/state_purchase_view/24567200" TargetMode="External"/>
  <ns0:Relationship Id="rId437" Type="http://schemas.openxmlformats.org/officeDocument/2006/relationships/hyperlink" Target="https://my.zakupki.prom.ua/remote/dispatcher/state_contracting_view/7937006" TargetMode="External"/>
  <ns0:Relationship Id="rId438" Type="http://schemas.openxmlformats.org/officeDocument/2006/relationships/hyperlink" Target="https://my.zakupki.prom.ua/remote/dispatcher/state_purchase_view/26255321" TargetMode="External"/>
  <ns0:Relationship Id="rId439" Type="http://schemas.openxmlformats.org/officeDocument/2006/relationships/hyperlink" Target="https://my.zakupki.prom.ua/remote/dispatcher/state_contracting_view/8946911" TargetMode="External"/>
  <ns0:Relationship Id="rId440" Type="http://schemas.openxmlformats.org/officeDocument/2006/relationships/hyperlink" Target="https://my.zakupki.prom.ua/remote/dispatcher/state_purchase_view/26235692" TargetMode="External"/>
  <ns0:Relationship Id="rId441" Type="http://schemas.openxmlformats.org/officeDocument/2006/relationships/hyperlink" Target="https://my.zakupki.prom.ua/remote/dispatcher/state_contracting_view/8734491" TargetMode="External"/>
  <ns0:Relationship Id="rId442" Type="http://schemas.openxmlformats.org/officeDocument/2006/relationships/hyperlink" Target="https://my.zakupki.prom.ua/remote/dispatcher/state_purchase_view/25590479" TargetMode="External"/>
  <ns0:Relationship Id="rId443" Type="http://schemas.openxmlformats.org/officeDocument/2006/relationships/hyperlink" Target="https://my.zakupki.prom.ua/remote/dispatcher/state_contracting_view/8419376" TargetMode="External"/>
  <ns0:Relationship Id="rId444" Type="http://schemas.openxmlformats.org/officeDocument/2006/relationships/hyperlink" Target="https://my.zakupki.prom.ua/remote/dispatcher/state_purchase_view/25563053" TargetMode="External"/>
  <ns0:Relationship Id="rId445" Type="http://schemas.openxmlformats.org/officeDocument/2006/relationships/hyperlink" Target="https://my.zakupki.prom.ua/remote/dispatcher/state_contracting_view/8405350" TargetMode="External"/>
  <ns0:Relationship Id="rId446" Type="http://schemas.openxmlformats.org/officeDocument/2006/relationships/hyperlink" Target="https://my.zakupki.prom.ua/remote/dispatcher/state_purchase_view/25561642" TargetMode="External"/>
  <ns0:Relationship Id="rId447" Type="http://schemas.openxmlformats.org/officeDocument/2006/relationships/hyperlink" Target="https://my.zakupki.prom.ua/remote/dispatcher/state_contracting_view/8404798" TargetMode="External"/>
  <ns0:Relationship Id="rId448" Type="http://schemas.openxmlformats.org/officeDocument/2006/relationships/hyperlink" Target="https://my.zakupki.prom.ua/remote/dispatcher/state_purchase_view/25547721" TargetMode="External"/>
  <ns0:Relationship Id="rId449" Type="http://schemas.openxmlformats.org/officeDocument/2006/relationships/hyperlink" Target="https://my.zakupki.prom.ua/remote/dispatcher/state_contracting_view/8398219" TargetMode="External"/>
  <ns0:Relationship Id="rId450" Type="http://schemas.openxmlformats.org/officeDocument/2006/relationships/hyperlink" Target="https://my.zakupki.prom.ua/remote/dispatcher/state_purchase_view/25663090" TargetMode="External"/>
  <ns0:Relationship Id="rId451" Type="http://schemas.openxmlformats.org/officeDocument/2006/relationships/hyperlink" Target="https://my.zakupki.prom.ua/remote/dispatcher/state_contracting_view/8453319" TargetMode="External"/>
  <ns0:Relationship Id="rId452" Type="http://schemas.openxmlformats.org/officeDocument/2006/relationships/hyperlink" Target="https://my.zakupki.prom.ua/remote/dispatcher/state_purchase_view/24379662" TargetMode="External"/>
  <ns0:Relationship Id="rId453" Type="http://schemas.openxmlformats.org/officeDocument/2006/relationships/hyperlink" Target="https://my.zakupki.prom.ua/remote/dispatcher/state_contracting_view/7841197" TargetMode="External"/>
  <ns0:Relationship Id="rId454" Type="http://schemas.openxmlformats.org/officeDocument/2006/relationships/hyperlink" Target="https://my.zakupki.prom.ua/remote/dispatcher/state_purchase_view/26089659" TargetMode="External"/>
  <ns0:Relationship Id="rId455" Type="http://schemas.openxmlformats.org/officeDocument/2006/relationships/hyperlink" Target="https://my.zakupki.prom.ua/remote/dispatcher/state_contracting_view/8656582" TargetMode="External"/>
  <ns0:Relationship Id="rId456" Type="http://schemas.openxmlformats.org/officeDocument/2006/relationships/hyperlink" Target="https://my.zakupki.prom.ua/remote/dispatcher/state_purchase_view/25238835" TargetMode="External"/>
  <ns0:Relationship Id="rId457" Type="http://schemas.openxmlformats.org/officeDocument/2006/relationships/hyperlink" Target="https://my.zakupki.prom.ua/remote/dispatcher/state_contracting_view/8273271" TargetMode="External"/>
  <ns0:Relationship Id="rId458" Type="http://schemas.openxmlformats.org/officeDocument/2006/relationships/hyperlink" Target="https://my.zakupki.prom.ua/remote/dispatcher/state_purchase_view/33702326" TargetMode="External"/>
  <ns0:Relationship Id="rId459" Type="http://schemas.openxmlformats.org/officeDocument/2006/relationships/hyperlink" Target="https://my.zakupki.prom.ua/remote/dispatcher/state_contracting_view/12289339" TargetMode="External"/>
  <ns0:Relationship Id="rId460" Type="http://schemas.openxmlformats.org/officeDocument/2006/relationships/hyperlink" Target="https://my.zakupki.prom.ua/remote/dispatcher/state_purchase_view/30154485" TargetMode="External"/>
  <ns0:Relationship Id="rId461" Type="http://schemas.openxmlformats.org/officeDocument/2006/relationships/hyperlink" Target="https://my.zakupki.prom.ua/remote/dispatcher/state_contracting_view/10571667" TargetMode="External"/>
  <ns0:Relationship Id="rId462" Type="http://schemas.openxmlformats.org/officeDocument/2006/relationships/hyperlink" Target="https://my.zakupki.prom.ua/remote/dispatcher/state_purchase_view/27772345" TargetMode="External"/>
  <ns0:Relationship Id="rId463" Type="http://schemas.openxmlformats.org/officeDocument/2006/relationships/hyperlink" Target="https://my.zakupki.prom.ua/remote/dispatcher/state_contracting_view/9465690" TargetMode="External"/>
  <ns0:Relationship Id="rId464" Type="http://schemas.openxmlformats.org/officeDocument/2006/relationships/hyperlink" Target="https://my.zakupki.prom.ua/remote/dispatcher/state_purchase_view/27772064" TargetMode="External"/>
  <ns0:Relationship Id="rId465" Type="http://schemas.openxmlformats.org/officeDocument/2006/relationships/hyperlink" Target="https://my.zakupki.prom.ua/remote/dispatcher/state_contracting_view/9465657" TargetMode="External"/>
  <ns0:Relationship Id="rId466" Type="http://schemas.openxmlformats.org/officeDocument/2006/relationships/hyperlink" Target="https://my.zakupki.prom.ua/remote/dispatcher/state_purchase_view/30287495" TargetMode="External"/>
  <ns0:Relationship Id="rId467" Type="http://schemas.openxmlformats.org/officeDocument/2006/relationships/hyperlink" Target="https://my.zakupki.prom.ua/remote/dispatcher/state_contracting_view/10632840" TargetMode="External"/>
  <ns0:Relationship Id="rId468" Type="http://schemas.openxmlformats.org/officeDocument/2006/relationships/hyperlink" Target="https://my.zakupki.prom.ua/remote/dispatcher/state_purchase_view/27903504" TargetMode="External"/>
  <ns0:Relationship Id="rId469" Type="http://schemas.openxmlformats.org/officeDocument/2006/relationships/hyperlink" Target="https://my.zakupki.prom.ua/remote/dispatcher/state_contracting_view/9521399" TargetMode="External"/>
  <ns0:Relationship Id="rId470" Type="http://schemas.openxmlformats.org/officeDocument/2006/relationships/hyperlink" Target="https://my.zakupki.prom.ua/remote/dispatcher/state_purchase_view/29081818" TargetMode="External"/>
  <ns0:Relationship Id="rId471" Type="http://schemas.openxmlformats.org/officeDocument/2006/relationships/hyperlink" Target="https://my.zakupki.prom.ua/remote/dispatcher/state_contracting_view/10073685" TargetMode="External"/>
  <ns0:Relationship Id="rId472" Type="http://schemas.openxmlformats.org/officeDocument/2006/relationships/hyperlink" Target="https://my.zakupki.prom.ua/remote/dispatcher/state_purchase_view/23358455" TargetMode="External"/>
  <ns0:Relationship Id="rId473" Type="http://schemas.openxmlformats.org/officeDocument/2006/relationships/hyperlink" Target="https://my.zakupki.prom.ua/remote/dispatcher/state_contracting_view/7377736" TargetMode="External"/>
  <ns0:Relationship Id="rId474" Type="http://schemas.openxmlformats.org/officeDocument/2006/relationships/hyperlink" Target="https://my.zakupki.prom.ua/remote/dispatcher/state_purchase_view/22934880" TargetMode="External"/>
  <ns0:Relationship Id="rId475" Type="http://schemas.openxmlformats.org/officeDocument/2006/relationships/hyperlink" Target="https://my.zakupki.prom.ua/remote/dispatcher/state_contracting_view/7214825" TargetMode="External"/>
  <ns0:Relationship Id="rId476" Type="http://schemas.openxmlformats.org/officeDocument/2006/relationships/hyperlink" Target="https://my.zakupki.prom.ua/remote/dispatcher/state_purchase_view/22928171" TargetMode="External"/>
  <ns0:Relationship Id="rId477" Type="http://schemas.openxmlformats.org/officeDocument/2006/relationships/hyperlink" Target="https://my.zakupki.prom.ua/remote/dispatcher/state_contracting_view/7212590" TargetMode="External"/>
  <ns0:Relationship Id="rId478" Type="http://schemas.openxmlformats.org/officeDocument/2006/relationships/hyperlink" Target="https://my.zakupki.prom.ua/remote/dispatcher/state_purchase_view/22893768" TargetMode="External"/>
  <ns0:Relationship Id="rId479" Type="http://schemas.openxmlformats.org/officeDocument/2006/relationships/hyperlink" Target="https://my.zakupki.prom.ua/remote/dispatcher/state_contracting_view/7202116" TargetMode="External"/>
  <ns0:Relationship Id="rId480" Type="http://schemas.openxmlformats.org/officeDocument/2006/relationships/hyperlink" Target="https://my.zakupki.prom.ua/remote/dispatcher/state_purchase_view/30782572" TargetMode="External"/>
  <ns0:Relationship Id="rId481" Type="http://schemas.openxmlformats.org/officeDocument/2006/relationships/hyperlink" Target="https://my.zakupki.prom.ua/remote/dispatcher/state_contracting_view/10860995" TargetMode="External"/>
  <ns0:Relationship Id="rId482" Type="http://schemas.openxmlformats.org/officeDocument/2006/relationships/hyperlink" Target="https://my.zakupki.prom.ua/remote/dispatcher/state_purchase_view/24763356" TargetMode="External"/>
  <ns0:Relationship Id="rId483" Type="http://schemas.openxmlformats.org/officeDocument/2006/relationships/hyperlink" Target="https://my.zakupki.prom.ua/remote/dispatcher/state_contracting_view/8023215" TargetMode="External"/>
  <ns0:Relationship Id="rId484" Type="http://schemas.openxmlformats.org/officeDocument/2006/relationships/hyperlink" Target="https://my.zakupki.prom.ua/remote/dispatcher/state_purchase_view/25020162" TargetMode="External"/>
  <ns0:Relationship Id="rId485" Type="http://schemas.openxmlformats.org/officeDocument/2006/relationships/hyperlink" Target="https://my.zakupki.prom.ua/remote/dispatcher/state_contracting_view/8146753" TargetMode="External"/>
  <ns0:Relationship Id="rId486" Type="http://schemas.openxmlformats.org/officeDocument/2006/relationships/hyperlink" Target="https://my.zakupki.prom.ua/remote/dispatcher/state_purchase_view/30155624" TargetMode="External"/>
  <ns0:Relationship Id="rId487" Type="http://schemas.openxmlformats.org/officeDocument/2006/relationships/hyperlink" Target="https://my.zakupki.prom.ua/remote/dispatcher/state_contracting_view/10571749" TargetMode="External"/>
  <ns0:Relationship Id="rId488" Type="http://schemas.openxmlformats.org/officeDocument/2006/relationships/hyperlink" Target="https://my.zakupki.prom.ua/remote/dispatcher/state_purchase_view/31105913" TargetMode="External"/>
  <ns0:Relationship Id="rId489" Type="http://schemas.openxmlformats.org/officeDocument/2006/relationships/hyperlink" Target="https://my.zakupki.prom.ua/remote/dispatcher/state_contracting_view/11016437" TargetMode="External"/>
  <ns0:Relationship Id="rId490" Type="http://schemas.openxmlformats.org/officeDocument/2006/relationships/hyperlink" Target="https://my.zakupki.prom.ua/remote/dispatcher/state_purchase_view/30966983" TargetMode="External"/>
  <ns0:Relationship Id="rId491" Type="http://schemas.openxmlformats.org/officeDocument/2006/relationships/hyperlink" Target="https://my.zakupki.prom.ua/remote/dispatcher/state_contracting_view/10946625" TargetMode="External"/>
  <ns0:Relationship Id="rId492" Type="http://schemas.openxmlformats.org/officeDocument/2006/relationships/hyperlink" Target="https://my.zakupki.prom.ua/remote/dispatcher/state_purchase_view/30964407" TargetMode="External"/>
  <ns0:Relationship Id="rId493" Type="http://schemas.openxmlformats.org/officeDocument/2006/relationships/hyperlink" Target="https://my.zakupki.prom.ua/remote/dispatcher/state_contracting_view/10944897" TargetMode="External"/>
  <ns0:Relationship Id="rId494" Type="http://schemas.openxmlformats.org/officeDocument/2006/relationships/hyperlink" Target="https://my.zakupki.prom.ua/remote/dispatcher/state_purchase_view/29529823" TargetMode="External"/>
  <ns0:Relationship Id="rId495" Type="http://schemas.openxmlformats.org/officeDocument/2006/relationships/hyperlink" Target="https://my.zakupki.prom.ua/remote/dispatcher/state_contracting_view/10285424" TargetMode="External"/>
  <ns0:Relationship Id="rId496" Type="http://schemas.openxmlformats.org/officeDocument/2006/relationships/hyperlink" Target="https://my.zakupki.prom.ua/remote/dispatcher/state_purchase_view/27262354" TargetMode="External"/>
  <ns0:Relationship Id="rId497" Type="http://schemas.openxmlformats.org/officeDocument/2006/relationships/hyperlink" Target="https://my.zakupki.prom.ua/remote/dispatcher/state_contracting_view/9216719" TargetMode="External"/>
  <ns0:Relationship Id="rId498" Type="http://schemas.openxmlformats.org/officeDocument/2006/relationships/hyperlink" Target="https://my.zakupki.prom.ua/remote/dispatcher/state_purchase_view/29428917" TargetMode="External"/>
  <ns0:Relationship Id="rId499" Type="http://schemas.openxmlformats.org/officeDocument/2006/relationships/hyperlink" Target="https://my.zakupki.prom.ua/remote/dispatcher/state_contracting_view/10236304" TargetMode="External"/>
  <ns0:Relationship Id="rId500" Type="http://schemas.openxmlformats.org/officeDocument/2006/relationships/hyperlink" Target="https://my.zakupki.prom.ua/remote/dispatcher/state_purchase_view/29434331" TargetMode="External"/>
  <ns0:Relationship Id="rId501" Type="http://schemas.openxmlformats.org/officeDocument/2006/relationships/hyperlink" Target="https://my.zakupki.prom.ua/remote/dispatcher/state_contracting_view/10238769" TargetMode="External"/>
  <ns0:Relationship Id="rId502" Type="http://schemas.openxmlformats.org/officeDocument/2006/relationships/hyperlink" Target="https://my.zakupki.prom.ua/remote/dispatcher/state_purchase_view/24102739" TargetMode="External"/>
  <ns0:Relationship Id="rId503" Type="http://schemas.openxmlformats.org/officeDocument/2006/relationships/hyperlink" Target="https://my.zakupki.prom.ua/remote/dispatcher/state_contracting_view/7718413" TargetMode="External"/>
  <ns0:Relationship Id="rId504" Type="http://schemas.openxmlformats.org/officeDocument/2006/relationships/hyperlink" Target="https://my.zakupki.prom.ua/remote/dispatcher/state_purchase_view/24350111" TargetMode="External"/>
  <ns0:Relationship Id="rId505" Type="http://schemas.openxmlformats.org/officeDocument/2006/relationships/hyperlink" Target="https://my.zakupki.prom.ua/remote/dispatcher/state_contracting_view/7826687" TargetMode="External"/>
  <ns0:Relationship Id="rId506" Type="http://schemas.openxmlformats.org/officeDocument/2006/relationships/hyperlink" Target="https://my.zakupki.prom.ua/remote/dispatcher/state_purchase_view/22863071" TargetMode="External"/>
  <ns0:Relationship Id="rId507" Type="http://schemas.openxmlformats.org/officeDocument/2006/relationships/hyperlink" Target="https://my.zakupki.prom.ua/remote/dispatcher/state_contracting_view/7191400" TargetMode="External"/>
  <ns0:Relationship Id="rId508" Type="http://schemas.openxmlformats.org/officeDocument/2006/relationships/hyperlink" Target="https://my.zakupki.prom.ua/remote/dispatcher/state_purchase_view/26184033" TargetMode="External"/>
  <ns0:Relationship Id="rId509" Type="http://schemas.openxmlformats.org/officeDocument/2006/relationships/hyperlink" Target="https://my.zakupki.prom.ua/remote/dispatcher/state_contracting_view/8702743" TargetMode="External"/>
  <ns0:Relationship Id="rId510" Type="http://schemas.openxmlformats.org/officeDocument/2006/relationships/hyperlink" Target="https://my.zakupki.prom.ua/remote/dispatcher/state_purchase_view/26088057" TargetMode="External"/>
  <ns0:Relationship Id="rId511" Type="http://schemas.openxmlformats.org/officeDocument/2006/relationships/hyperlink" Target="https://my.zakupki.prom.ua/remote/dispatcher/state_contracting_view/8655735" TargetMode="External"/>
  <ns0:Relationship Id="rId512" Type="http://schemas.openxmlformats.org/officeDocument/2006/relationships/hyperlink" Target="https://my.zakupki.prom.ua/remote/dispatcher/state_purchase_view/26046715" TargetMode="External"/>
  <ns0:Relationship Id="rId513" Type="http://schemas.openxmlformats.org/officeDocument/2006/relationships/hyperlink" Target="https://my.zakupki.prom.ua/remote/dispatcher/state_contracting_view/8635843" TargetMode="External"/>
  <ns0:Relationship Id="rId514" Type="http://schemas.openxmlformats.org/officeDocument/2006/relationships/hyperlink" Target="https://my.zakupki.prom.ua/remote/dispatcher/state_purchase_view/26275342" TargetMode="External"/>
  <ns0:Relationship Id="rId515" Type="http://schemas.openxmlformats.org/officeDocument/2006/relationships/hyperlink" Target="https://my.zakupki.prom.ua/remote/dispatcher/state_contracting_view/8746410" TargetMode="External"/>
  <ns0:Relationship Id="rId516" Type="http://schemas.openxmlformats.org/officeDocument/2006/relationships/hyperlink" Target="https://my.zakupki.prom.ua/remote/dispatcher/state_purchase_view/26258301" TargetMode="External"/>
  <ns0:Relationship Id="rId517" Type="http://schemas.openxmlformats.org/officeDocument/2006/relationships/hyperlink" Target="https://my.zakupki.prom.ua/remote/dispatcher/state_contracting_view/8738913" TargetMode="External"/>
  <ns0:Relationship Id="rId518" Type="http://schemas.openxmlformats.org/officeDocument/2006/relationships/hyperlink" Target="https://my.zakupki.prom.ua/remote/dispatcher/state_purchase_view/25636120" TargetMode="External"/>
  <ns0:Relationship Id="rId519" Type="http://schemas.openxmlformats.org/officeDocument/2006/relationships/hyperlink" Target="https://my.zakupki.prom.ua/remote/dispatcher/state_contracting_view/8443644" TargetMode="External"/>
  <ns0:Relationship Id="rId520" Type="http://schemas.openxmlformats.org/officeDocument/2006/relationships/hyperlink" Target="https://my.zakupki.prom.ua/remote/dispatcher/state_purchase_view/25634774" TargetMode="External"/>
  <ns0:Relationship Id="rId521" Type="http://schemas.openxmlformats.org/officeDocument/2006/relationships/hyperlink" Target="https://my.zakupki.prom.ua/remote/dispatcher/state_contracting_view/8443122" TargetMode="External"/>
  <ns0:Relationship Id="rId522" Type="http://schemas.openxmlformats.org/officeDocument/2006/relationships/hyperlink" Target="https://my.zakupki.prom.ua/remote/dispatcher/state_purchase_view/24869813" TargetMode="External"/>
  <ns0:Relationship Id="rId523" Type="http://schemas.openxmlformats.org/officeDocument/2006/relationships/hyperlink" Target="https://my.zakupki.prom.ua/remote/dispatcher/state_contracting_view/8085651" TargetMode="External"/>
  <ns0:Relationship Id="rId524" Type="http://schemas.openxmlformats.org/officeDocument/2006/relationships/hyperlink" Target="https://my.zakupki.prom.ua/remote/dispatcher/state_purchase_view/25067834" TargetMode="External"/>
  <ns0:Relationship Id="rId525" Type="http://schemas.openxmlformats.org/officeDocument/2006/relationships/hyperlink" Target="https://my.zakupki.prom.ua/remote/dispatcher/state_contracting_view/8170347" TargetMode="External"/>
  <ns0:Relationship Id="rId526" Type="http://schemas.openxmlformats.org/officeDocument/2006/relationships/hyperlink" Target="https://my.zakupki.prom.ua/remote/dispatcher/state_purchase_view/25071671" TargetMode="External"/>
  <ns0:Relationship Id="rId527" Type="http://schemas.openxmlformats.org/officeDocument/2006/relationships/hyperlink" Target="https://my.zakupki.prom.ua/remote/dispatcher/state_contracting_view/8180288" TargetMode="External"/>
  <ns0:Relationship Id="rId528" Type="http://schemas.openxmlformats.org/officeDocument/2006/relationships/hyperlink" Target="https://my.zakupki.prom.ua/remote/dispatcher/state_purchase_view/24837362" TargetMode="External"/>
  <ns0:Relationship Id="rId529" Type="http://schemas.openxmlformats.org/officeDocument/2006/relationships/hyperlink" Target="https://my.zakupki.prom.ua/remote/dispatcher/state_contracting_view/8488304" TargetMode="External"/>
  <ns0:Relationship Id="rId530" Type="http://schemas.openxmlformats.org/officeDocument/2006/relationships/hyperlink" Target="https://my.zakupki.prom.ua/remote/dispatcher/state_purchase_view/26619352" TargetMode="External"/>
  <ns0:Relationship Id="rId531" Type="http://schemas.openxmlformats.org/officeDocument/2006/relationships/hyperlink" Target="https://my.zakupki.prom.ua/remote/dispatcher/state_contracting_view/8924338" TargetMode="External"/>
  <ns0:Relationship Id="rId532" Type="http://schemas.openxmlformats.org/officeDocument/2006/relationships/hyperlink" Target="https://my.zakupki.prom.ua/remote/dispatcher/state_purchase_view/26618265" TargetMode="External"/>
  <ns0:Relationship Id="rId533" Type="http://schemas.openxmlformats.org/officeDocument/2006/relationships/hyperlink" Target="https://my.zakupki.prom.ua/remote/dispatcher/state_contracting_view/8924899" TargetMode="External"/>
  <ns0:Relationship Id="rId534" Type="http://schemas.openxmlformats.org/officeDocument/2006/relationships/hyperlink" Target="https://my.zakupki.prom.ua/remote/dispatcher/state_purchase_view/26462801" TargetMode="External"/>
  <ns0:Relationship Id="rId535" Type="http://schemas.openxmlformats.org/officeDocument/2006/relationships/hyperlink" Target="https://my.zakupki.prom.ua/remote/dispatcher/state_contracting_view/8837147" TargetMode="External"/>
  <ns0:Relationship Id="rId536" Type="http://schemas.openxmlformats.org/officeDocument/2006/relationships/hyperlink" Target="https://my.zakupki.prom.ua/remote/dispatcher/state_purchase_view/25485039" TargetMode="External"/>
  <ns0:Relationship Id="rId537" Type="http://schemas.openxmlformats.org/officeDocument/2006/relationships/hyperlink" Target="https://my.zakupki.prom.ua/remote/dispatcher/state_contracting_view/8371466" TargetMode="External"/>
  <ns0:Relationship Id="rId538" Type="http://schemas.openxmlformats.org/officeDocument/2006/relationships/hyperlink" Target="https://my.zakupki.prom.ua/remote/dispatcher/state_purchase_view/26932751" TargetMode="External"/>
  <ns0:Relationship Id="rId539" Type="http://schemas.openxmlformats.org/officeDocument/2006/relationships/hyperlink" Target="https://my.zakupki.prom.ua/remote/dispatcher/state_contracting_view/9059966" TargetMode="External"/>
  <ns0:Relationship Id="rId540" Type="http://schemas.openxmlformats.org/officeDocument/2006/relationships/hyperlink" Target="https://my.zakupki.prom.ua/remote/dispatcher/state_purchase_view/25547171" TargetMode="External"/>
  <ns0:Relationship Id="rId541" Type="http://schemas.openxmlformats.org/officeDocument/2006/relationships/hyperlink" Target="https://my.zakupki.prom.ua/remote/dispatcher/state_contracting_view/8398186" TargetMode="External"/>
  <ns0:Relationship Id="rId542" Type="http://schemas.openxmlformats.org/officeDocument/2006/relationships/hyperlink" Target="https://my.zakupki.prom.ua/remote/dispatcher/state_purchase_view/25604100" TargetMode="External"/>
  <ns0:Relationship Id="rId543" Type="http://schemas.openxmlformats.org/officeDocument/2006/relationships/hyperlink" Target="https://my.zakupki.prom.ua/remote/dispatcher/state_contracting_view/8425590" TargetMode="External"/>
  <ns0:Relationship Id="rId544" Type="http://schemas.openxmlformats.org/officeDocument/2006/relationships/hyperlink" Target="https://my.zakupki.prom.ua/remote/dispatcher/state_purchase_view/23279808" TargetMode="External"/>
  <ns0:Relationship Id="rId545" Type="http://schemas.openxmlformats.org/officeDocument/2006/relationships/hyperlink" Target="https://my.zakupki.prom.ua/remote/dispatcher/state_contracting_view/7345144" TargetMode="External"/>
  <ns0:Relationship Id="rId546" Type="http://schemas.openxmlformats.org/officeDocument/2006/relationships/hyperlink" Target="https://my.zakupki.prom.ua/remote/dispatcher/state_purchase_view/27211469" TargetMode="External"/>
  <ns0:Relationship Id="rId547" Type="http://schemas.openxmlformats.org/officeDocument/2006/relationships/hyperlink" Target="https://my.zakupki.prom.ua/remote/dispatcher/state_contracting_view/9191637" TargetMode="External"/>
  <ns0:Relationship Id="rId548" Type="http://schemas.openxmlformats.org/officeDocument/2006/relationships/hyperlink" Target="https://my.zakupki.prom.ua/remote/dispatcher/state_purchase_view/27269620" TargetMode="External"/>
  <ns0:Relationship Id="rId549" Type="http://schemas.openxmlformats.org/officeDocument/2006/relationships/hyperlink" Target="https://my.zakupki.prom.ua/remote/dispatcher/state_contracting_view/9221609" TargetMode="External"/>
  <ns0:Relationship Id="rId550" Type="http://schemas.openxmlformats.org/officeDocument/2006/relationships/hyperlink" Target="https://my.zakupki.prom.ua/remote/dispatcher/state_purchase_view/27199349" TargetMode="External"/>
  <ns0:Relationship Id="rId551" Type="http://schemas.openxmlformats.org/officeDocument/2006/relationships/hyperlink" Target="https://my.zakupki.prom.ua/remote/dispatcher/state_contracting_view/9185912" TargetMode="External"/>
  <ns0:Relationship Id="rId552" Type="http://schemas.openxmlformats.org/officeDocument/2006/relationships/hyperlink" Target="https://my.zakupki.prom.ua/remote/dispatcher/state_purchase_view/23467290" TargetMode="External"/>
  <ns0:Relationship Id="rId553" Type="http://schemas.openxmlformats.org/officeDocument/2006/relationships/hyperlink" Target="https://my.zakupki.prom.ua/remote/dispatcher/state_contracting_view/7424946" TargetMode="External"/>
  <ns0:Relationship Id="rId554" Type="http://schemas.openxmlformats.org/officeDocument/2006/relationships/hyperlink" Target="https://my.zakupki.prom.ua/remote/dispatcher/state_purchase_view/23615414" TargetMode="External"/>
  <ns0:Relationship Id="rId555" Type="http://schemas.openxmlformats.org/officeDocument/2006/relationships/hyperlink" Target="https://my.zakupki.prom.ua/remote/dispatcher/state_contracting_view/7489054" TargetMode="External"/>
  <ns0:Relationship Id="rId556" Type="http://schemas.openxmlformats.org/officeDocument/2006/relationships/hyperlink" Target="https://my.zakupki.prom.ua/remote/dispatcher/state_purchase_view/22841535" TargetMode="External"/>
  <ns0:Relationship Id="rId557" Type="http://schemas.openxmlformats.org/officeDocument/2006/relationships/hyperlink" Target="https://my.zakupki.prom.ua/remote/dispatcher/state_contracting_view/7183831" TargetMode="External"/>
  <ns0:Relationship Id="rId558" Type="http://schemas.openxmlformats.org/officeDocument/2006/relationships/hyperlink" Target="https://my.zakupki.prom.ua/remote/dispatcher/state_purchase_view/24746088" TargetMode="External"/>
  <ns0:Relationship Id="rId559" Type="http://schemas.openxmlformats.org/officeDocument/2006/relationships/hyperlink" Target="https://my.zakupki.prom.ua/remote/dispatcher/state_contracting_view/8020741" TargetMode="External"/>
  <ns0:Relationship Id="rId560" Type="http://schemas.openxmlformats.org/officeDocument/2006/relationships/hyperlink" Target="https://my.zakupki.prom.ua/remote/dispatcher/state_purchase_view/25252309" TargetMode="External"/>
  <ns0:Relationship Id="rId561" Type="http://schemas.openxmlformats.org/officeDocument/2006/relationships/hyperlink" Target="https://my.zakupki.prom.ua/remote/dispatcher/state_contracting_view/8275982" TargetMode="External"/>
  <ns0:Relationship Id="rId562" Type="http://schemas.openxmlformats.org/officeDocument/2006/relationships/hyperlink" Target="https://my.zakupki.prom.ua/remote/dispatcher/state_purchase_view/31558898" TargetMode="External"/>
  <ns0:Relationship Id="rId563" Type="http://schemas.openxmlformats.org/officeDocument/2006/relationships/hyperlink" Target="https://my.zakupki.prom.ua/remote/dispatcher/state_contracting_view/11218711" TargetMode="External"/>
  <ns0:Relationship Id="rId564" Type="http://schemas.openxmlformats.org/officeDocument/2006/relationships/hyperlink" Target="https://my.zakupki.prom.ua/remote/dispatcher/state_purchase_view/30713328" TargetMode="External"/>
  <ns0:Relationship Id="rId565" Type="http://schemas.openxmlformats.org/officeDocument/2006/relationships/hyperlink" Target="https://my.zakupki.prom.ua/remote/dispatcher/state_contracting_view/10839970" TargetMode="External"/>
  <ns0:Relationship Id="rId566" Type="http://schemas.openxmlformats.org/officeDocument/2006/relationships/hyperlink" Target="https://my.zakupki.prom.ua/remote/dispatcher/state_purchase_view/27741044" TargetMode="External"/>
  <ns0:Relationship Id="rId567" Type="http://schemas.openxmlformats.org/officeDocument/2006/relationships/hyperlink" Target="https://my.zakupki.prom.ua/remote/dispatcher/state_contracting_view/9442973" TargetMode="External"/>
  <ns0:Relationship Id="rId568" Type="http://schemas.openxmlformats.org/officeDocument/2006/relationships/hyperlink" Target="https://my.zakupki.prom.ua/remote/dispatcher/state_purchase_view/27746590" TargetMode="External"/>
  <ns0:Relationship Id="rId569" Type="http://schemas.openxmlformats.org/officeDocument/2006/relationships/hyperlink" Target="https://my.zakupki.prom.ua/remote/dispatcher/state_contracting_view/9445774" TargetMode="External"/>
  <ns0:Relationship Id="rId570" Type="http://schemas.openxmlformats.org/officeDocument/2006/relationships/hyperlink" Target="https://my.zakupki.prom.ua/remote/dispatcher/state_purchase_view/30405065" TargetMode="External"/>
  <ns0:Relationship Id="rId571" Type="http://schemas.openxmlformats.org/officeDocument/2006/relationships/hyperlink" Target="https://my.zakupki.prom.ua/remote/dispatcher/state_contracting_view/10694258" TargetMode="External"/>
  <ns0:Relationship Id="rId572" Type="http://schemas.openxmlformats.org/officeDocument/2006/relationships/hyperlink" Target="https://my.zakupki.prom.ua/remote/dispatcher/state_purchase_view/24961555" TargetMode="External"/>
  <ns0:Relationship Id="rId573" Type="http://schemas.openxmlformats.org/officeDocument/2006/relationships/hyperlink" Target="https://my.zakupki.prom.ua/remote/dispatcher/state_contracting_view/8118748" TargetMode="External"/>
  <ns0:Relationship Id="rId574" Type="http://schemas.openxmlformats.org/officeDocument/2006/relationships/hyperlink" Target="https://my.zakupki.prom.ua/remote/dispatcher/state_purchase_view/25661889" TargetMode="External"/>
  <ns0:Relationship Id="rId575" Type="http://schemas.openxmlformats.org/officeDocument/2006/relationships/hyperlink" Target="https://my.zakupki.prom.ua/remote/dispatcher/state_contracting_view/8453645" TargetMode="External"/>
  <ns0:Relationship Id="rId576" Type="http://schemas.openxmlformats.org/officeDocument/2006/relationships/hyperlink" Target="https://my.zakupki.prom.ua/remote/dispatcher/state_purchase_view/25826525" TargetMode="External"/>
  <ns0:Relationship Id="rId577" Type="http://schemas.openxmlformats.org/officeDocument/2006/relationships/hyperlink" Target="https://my.zakupki.prom.ua/remote/dispatcher/state_contracting_view/8530693" TargetMode="External"/>
  <ns0:Relationship Id="rId578" Type="http://schemas.openxmlformats.org/officeDocument/2006/relationships/hyperlink" Target="https://my.zakupki.prom.ua/remote/dispatcher/state_purchase_view/25857287" TargetMode="External"/>
  <ns0:Relationship Id="rId579" Type="http://schemas.openxmlformats.org/officeDocument/2006/relationships/hyperlink" Target="https://my.zakupki.prom.ua/remote/dispatcher/state_contracting_view/8547132" TargetMode="External"/>
  <ns0:Relationship Id="rId580" Type="http://schemas.openxmlformats.org/officeDocument/2006/relationships/hyperlink" Target="https://my.zakupki.prom.ua/remote/dispatcher/state_purchase_view/29760151" TargetMode="External"/>
  <ns0:Relationship Id="rId581" Type="http://schemas.openxmlformats.org/officeDocument/2006/relationships/hyperlink" Target="https://my.zakupki.prom.ua/remote/dispatcher/state_contracting_view/10389456" TargetMode="External"/>
  <ns0:Relationship Id="rId582" Type="http://schemas.openxmlformats.org/officeDocument/2006/relationships/hyperlink" Target="https://my.zakupki.prom.ua/remote/dispatcher/state_purchase_view/30680748" TargetMode="External"/>
  <ns0:Relationship Id="rId583" Type="http://schemas.openxmlformats.org/officeDocument/2006/relationships/hyperlink" Target="https://my.zakupki.prom.ua/remote/dispatcher/state_contracting_view/10812870" TargetMode="External"/>
  <ns0:Relationship Id="rId584" Type="http://schemas.openxmlformats.org/officeDocument/2006/relationships/hyperlink" Target="https://my.zakupki.prom.ua/remote/dispatcher/state_purchase_view/32319274" TargetMode="External"/>
  <ns0:Relationship Id="rId585" Type="http://schemas.openxmlformats.org/officeDocument/2006/relationships/hyperlink" Target="https://my.zakupki.prom.ua/remote/dispatcher/state_contracting_view/11567438" TargetMode="External"/>
  <ns0:Relationship Id="rId586" Type="http://schemas.openxmlformats.org/officeDocument/2006/relationships/hyperlink" Target="https://my.zakupki.prom.ua/remote/dispatcher/state_purchase_view/31509989" TargetMode="External"/>
  <ns0:Relationship Id="rId587" Type="http://schemas.openxmlformats.org/officeDocument/2006/relationships/hyperlink" Target="https://my.zakupki.prom.ua/remote/dispatcher/state_contracting_view/11194760" TargetMode="External"/>
  <ns0:Relationship Id="rId588" Type="http://schemas.openxmlformats.org/officeDocument/2006/relationships/hyperlink" Target="https://my.zakupki.prom.ua/remote/dispatcher/state_purchase_view/31709476" TargetMode="External"/>
  <ns0:Relationship Id="rId589" Type="http://schemas.openxmlformats.org/officeDocument/2006/relationships/hyperlink" Target="https://my.zakupki.prom.ua/remote/dispatcher/state_contracting_view/11285886" TargetMode="External"/>
  <ns0:Relationship Id="rId590" Type="http://schemas.openxmlformats.org/officeDocument/2006/relationships/hyperlink" Target="https://my.zakupki.prom.ua/remote/dispatcher/state_purchase_view/31363415" TargetMode="External"/>
  <ns0:Relationship Id="rId591" Type="http://schemas.openxmlformats.org/officeDocument/2006/relationships/hyperlink" Target="https://my.zakupki.prom.ua/remote/dispatcher/state_contracting_view/11127271" TargetMode="External"/>
  <ns0:Relationship Id="rId592" Type="http://schemas.openxmlformats.org/officeDocument/2006/relationships/hyperlink" Target="https://my.zakupki.prom.ua/remote/dispatcher/state_purchase_view/33712015" TargetMode="External"/>
  <ns0:Relationship Id="rId593" Type="http://schemas.openxmlformats.org/officeDocument/2006/relationships/hyperlink" Target="https://my.zakupki.prom.ua/remote/dispatcher/state_contracting_view/12232067" TargetMode="External"/>
  <ns0:Relationship Id="rId594" Type="http://schemas.openxmlformats.org/officeDocument/2006/relationships/hyperlink" Target="https://my.zakupki.prom.ua/remote/dispatcher/state_purchase_view/33387638" TargetMode="External"/>
  <ns0:Relationship Id="rId595" Type="http://schemas.openxmlformats.org/officeDocument/2006/relationships/hyperlink" Target="https://my.zakupki.prom.ua/remote/dispatcher/state_contracting_view/12072095" TargetMode="External"/>
  <ns0:Relationship Id="rId596" Type="http://schemas.openxmlformats.org/officeDocument/2006/relationships/hyperlink" Target="https://my.zakupki.prom.ua/remote/dispatcher/state_purchase_view/32569833" TargetMode="External"/>
  <ns0:Relationship Id="rId597" Type="http://schemas.openxmlformats.org/officeDocument/2006/relationships/hyperlink" Target="https://my.zakupki.prom.ua/remote/dispatcher/state_contracting_view/11682734" TargetMode="External"/>
  <ns0:Relationship Id="rId598" Type="http://schemas.openxmlformats.org/officeDocument/2006/relationships/hyperlink" Target="https://my.zakupki.prom.ua/remote/dispatcher/state_purchase_view/23995192" TargetMode="External"/>
  <ns0:Relationship Id="rId599" Type="http://schemas.openxmlformats.org/officeDocument/2006/relationships/hyperlink" Target="https://my.zakupki.prom.ua/remote/dispatcher/state_contracting_view/7664453" TargetMode="External"/>
  <ns0:Relationship Id="rId600" Type="http://schemas.openxmlformats.org/officeDocument/2006/relationships/hyperlink" Target="https://my.zakupki.prom.ua/remote/dispatcher/state_purchase_view/24433438" TargetMode="External"/>
  <ns0:Relationship Id="rId601" Type="http://schemas.openxmlformats.org/officeDocument/2006/relationships/hyperlink" Target="https://my.zakupki.prom.ua/remote/dispatcher/state_contracting_view/8187449" TargetMode="External"/>
  <ns0:Relationship Id="rId602" Type="http://schemas.openxmlformats.org/officeDocument/2006/relationships/hyperlink" Target="https://my.zakupki.prom.ua/remote/dispatcher/state_purchase_view/23304253" TargetMode="External"/>
  <ns0:Relationship Id="rId603" Type="http://schemas.openxmlformats.org/officeDocument/2006/relationships/hyperlink" Target="https://my.zakupki.prom.ua/remote/dispatcher/state_contracting_view/7369027" TargetMode="External"/>
  <ns0:Relationship Id="rId604" Type="http://schemas.openxmlformats.org/officeDocument/2006/relationships/hyperlink" Target="https://my.zakupki.prom.ua/remote/dispatcher/state_purchase_view/30295328" TargetMode="External"/>
  <ns0:Relationship Id="rId605" Type="http://schemas.openxmlformats.org/officeDocument/2006/relationships/hyperlink" Target="https://my.zakupki.prom.ua/remote/dispatcher/state_contracting_view/10636953" TargetMode="External"/>
  <ns0:Relationship Id="rId606" Type="http://schemas.openxmlformats.org/officeDocument/2006/relationships/hyperlink" Target="https://my.zakupki.prom.ua/remote/dispatcher/state_purchase_view/26107752" TargetMode="External"/>
  <ns0:Relationship Id="rId607" Type="http://schemas.openxmlformats.org/officeDocument/2006/relationships/hyperlink" Target="https://my.zakupki.prom.ua/remote/dispatcher/state_contracting_view/8665457" TargetMode="External"/>
  <ns0:Relationship Id="rId608" Type="http://schemas.openxmlformats.org/officeDocument/2006/relationships/hyperlink" Target="https://my.zakupki.prom.ua/remote/dispatcher/state_purchase_view/26260420" TargetMode="External"/>
  <ns0:Relationship Id="rId609" Type="http://schemas.openxmlformats.org/officeDocument/2006/relationships/hyperlink" Target="https://my.zakupki.prom.ua/remote/dispatcher/state_contracting_view/8739500" TargetMode="External"/>
  <ns0:Relationship Id="rId610" Type="http://schemas.openxmlformats.org/officeDocument/2006/relationships/hyperlink" Target="https://my.zakupki.prom.ua/remote/dispatcher/state_purchase_view/25603439" TargetMode="External"/>
  <ns0:Relationship Id="rId611" Type="http://schemas.openxmlformats.org/officeDocument/2006/relationships/hyperlink" Target="https://my.zakupki.prom.ua/remote/dispatcher/state_contracting_view/8425339" TargetMode="External"/>
  <ns0:Relationship Id="rId612" Type="http://schemas.openxmlformats.org/officeDocument/2006/relationships/hyperlink" Target="https://my.zakupki.prom.ua/remote/dispatcher/state_purchase_view/25372203" TargetMode="External"/>
  <ns0:Relationship Id="rId613" Type="http://schemas.openxmlformats.org/officeDocument/2006/relationships/hyperlink" Target="https://my.zakupki.prom.ua/remote/dispatcher/state_contracting_view/8318082" TargetMode="External"/>
  <ns0:Relationship Id="rId614" Type="http://schemas.openxmlformats.org/officeDocument/2006/relationships/hyperlink" Target="https://my.zakupki.prom.ua/remote/dispatcher/state_purchase_view/25355884" TargetMode="External"/>
  <ns0:Relationship Id="rId615" Type="http://schemas.openxmlformats.org/officeDocument/2006/relationships/hyperlink" Target="https://my.zakupki.prom.ua/remote/dispatcher/state_contracting_view/8308469" TargetMode="External"/>
  <ns0:Relationship Id="rId616" Type="http://schemas.openxmlformats.org/officeDocument/2006/relationships/hyperlink" Target="https://my.zakupki.prom.ua/remote/dispatcher/state_purchase_view/25269139" TargetMode="External"/>
  <ns0:Relationship Id="rId617" Type="http://schemas.openxmlformats.org/officeDocument/2006/relationships/hyperlink" Target="https://my.zakupki.prom.ua/remote/dispatcher/state_contracting_view/8286929" TargetMode="External"/>
  <ns0:Relationship Id="rId618" Type="http://schemas.openxmlformats.org/officeDocument/2006/relationships/hyperlink" Target="https://my.zakupki.prom.ua/remote/dispatcher/state_purchase_view/24764460" TargetMode="External"/>
  <ns0:Relationship Id="rId619" Type="http://schemas.openxmlformats.org/officeDocument/2006/relationships/hyperlink" Target="https://my.zakupki.prom.ua/remote/dispatcher/state_contracting_view/8023642" TargetMode="External"/>
  <ns0:Relationship Id="rId620" Type="http://schemas.openxmlformats.org/officeDocument/2006/relationships/hyperlink" Target="https://my.zakupki.prom.ua/remote/dispatcher/state_purchase_view/26087297" TargetMode="External"/>
  <ns0:Relationship Id="rId621" Type="http://schemas.openxmlformats.org/officeDocument/2006/relationships/hyperlink" Target="https://my.zakupki.prom.ua/remote/dispatcher/state_contracting_view/8655138" TargetMode="External"/>
  <ns0:Relationship Id="rId622" Type="http://schemas.openxmlformats.org/officeDocument/2006/relationships/hyperlink" Target="https://my.zakupki.prom.ua/remote/dispatcher/state_purchase_view/25270087" TargetMode="External"/>
  <ns0:Relationship Id="rId623" Type="http://schemas.openxmlformats.org/officeDocument/2006/relationships/hyperlink" Target="https://my.zakupki.prom.ua/remote/dispatcher/state_contracting_view/8287110" TargetMode="External"/>
  <ns0:Relationship Id="rId624" Type="http://schemas.openxmlformats.org/officeDocument/2006/relationships/hyperlink" Target="https://my.zakupki.prom.ua/remote/dispatcher/state_purchase_view/25383045" TargetMode="External"/>
  <ns0:Relationship Id="rId625" Type="http://schemas.openxmlformats.org/officeDocument/2006/relationships/hyperlink" Target="https://my.zakupki.prom.ua/remote/dispatcher/state_contracting_view/8320847" TargetMode="External"/>
  <ns0:Relationship Id="rId626" Type="http://schemas.openxmlformats.org/officeDocument/2006/relationships/hyperlink" Target="https://my.zakupki.prom.ua/remote/dispatcher/state_purchase_view/25260245" TargetMode="External"/>
  <ns0:Relationship Id="rId627" Type="http://schemas.openxmlformats.org/officeDocument/2006/relationships/hyperlink" Target="https://my.zakupki.prom.ua/remote/dispatcher/state_contracting_view/8281031" TargetMode="External"/>
  <ns0:Relationship Id="rId628" Type="http://schemas.openxmlformats.org/officeDocument/2006/relationships/hyperlink" Target="https://my.zakupki.prom.ua/remote/dispatcher/state_purchase_view/25615938" TargetMode="External"/>
  <ns0:Relationship Id="rId629" Type="http://schemas.openxmlformats.org/officeDocument/2006/relationships/hyperlink" Target="https://my.zakupki.prom.ua/remote/dispatcher/state_contracting_view/8814264" TargetMode="External"/>
  <ns0:Relationship Id="rId630" Type="http://schemas.openxmlformats.org/officeDocument/2006/relationships/hyperlink" Target="https://my.zakupki.prom.ua/remote/dispatcher/state_purchase_view/25563908" TargetMode="External"/>
  <ns0:Relationship Id="rId631" Type="http://schemas.openxmlformats.org/officeDocument/2006/relationships/hyperlink" Target="https://my.zakupki.prom.ua/remote/dispatcher/state_contracting_view/8409178" TargetMode="External"/>
  <ns0:Relationship Id="rId632" Type="http://schemas.openxmlformats.org/officeDocument/2006/relationships/hyperlink" Target="https://my.zakupki.prom.ua/remote/dispatcher/state_purchase_view/26276236" TargetMode="External"/>
  <ns0:Relationship Id="rId633" Type="http://schemas.openxmlformats.org/officeDocument/2006/relationships/hyperlink" Target="https://my.zakupki.prom.ua/remote/dispatcher/state_contracting_view/8746818" TargetMode="External"/>
  <ns0:Relationship Id="rId634" Type="http://schemas.openxmlformats.org/officeDocument/2006/relationships/hyperlink" Target="https://my.zakupki.prom.ua/remote/dispatcher/state_purchase_view/25683852" TargetMode="External"/>
  <ns0:Relationship Id="rId635" Type="http://schemas.openxmlformats.org/officeDocument/2006/relationships/hyperlink" Target="https://my.zakupki.prom.ua/remote/dispatcher/state_contracting_view/8467492" TargetMode="External"/>
  <ns0:Relationship Id="rId636" Type="http://schemas.openxmlformats.org/officeDocument/2006/relationships/hyperlink" Target="https://my.zakupki.prom.ua/remote/dispatcher/state_purchase_view/25663508" TargetMode="External"/>
  <ns0:Relationship Id="rId637" Type="http://schemas.openxmlformats.org/officeDocument/2006/relationships/hyperlink" Target="https://my.zakupki.prom.ua/remote/dispatcher/state_contracting_view/8453852" TargetMode="External"/>
  <ns0:Relationship Id="rId638" Type="http://schemas.openxmlformats.org/officeDocument/2006/relationships/hyperlink" Target="https://my.zakupki.prom.ua/remote/dispatcher/state_purchase_view/25774870" TargetMode="External"/>
  <ns0:Relationship Id="rId639" Type="http://schemas.openxmlformats.org/officeDocument/2006/relationships/hyperlink" Target="https://my.zakupki.prom.ua/remote/dispatcher/state_contracting_view/8506861" TargetMode="External"/>
  <ns0:Relationship Id="rId640" Type="http://schemas.openxmlformats.org/officeDocument/2006/relationships/hyperlink" Target="https://my.zakupki.prom.ua/remote/dispatcher/state_purchase_view/23358108" TargetMode="External"/>
  <ns0:Relationship Id="rId641" Type="http://schemas.openxmlformats.org/officeDocument/2006/relationships/hyperlink" Target="https://my.zakupki.prom.ua/remote/dispatcher/state_contracting_view/7377609" TargetMode="External"/>
  <ns0:Relationship Id="rId642" Type="http://schemas.openxmlformats.org/officeDocument/2006/relationships/hyperlink" Target="https://my.zakupki.prom.ua/remote/dispatcher/state_purchase_view/22993043" TargetMode="External"/>
  <ns0:Relationship Id="rId643" Type="http://schemas.openxmlformats.org/officeDocument/2006/relationships/hyperlink" Target="https://my.zakupki.prom.ua/remote/dispatcher/state_contracting_view/7234303" TargetMode="External"/>
  <ns0:Relationship Id="rId644" Type="http://schemas.openxmlformats.org/officeDocument/2006/relationships/hyperlink" Target="https://my.zakupki.prom.ua/remote/dispatcher/state_purchase_view/22934166" TargetMode="External"/>
  <ns0:Relationship Id="rId645" Type="http://schemas.openxmlformats.org/officeDocument/2006/relationships/hyperlink" Target="https://my.zakupki.prom.ua/remote/dispatcher/state_contracting_view/7214577" TargetMode="External"/>
  <ns0:Relationship Id="rId646" Type="http://schemas.openxmlformats.org/officeDocument/2006/relationships/hyperlink" Target="https://my.zakupki.prom.ua/remote/dispatcher/state_purchase_view/28349441" TargetMode="External"/>
  <ns0:Relationship Id="rId647" Type="http://schemas.openxmlformats.org/officeDocument/2006/relationships/hyperlink" Target="https://my.zakupki.prom.ua/remote/dispatcher/state_contracting_view/9731358" TargetMode="External"/>
  <ns0:Relationship Id="rId648" Type="http://schemas.openxmlformats.org/officeDocument/2006/relationships/hyperlink" Target="https://my.zakupki.prom.ua/remote/dispatcher/state_purchase_view/22942090" TargetMode="External"/>
  <ns0:Relationship Id="rId649" Type="http://schemas.openxmlformats.org/officeDocument/2006/relationships/hyperlink" Target="https://my.zakupki.prom.ua/remote/dispatcher/state_contracting_view/7217291" TargetMode="External"/>
  <ns0:Relationship Id="rId650" Type="http://schemas.openxmlformats.org/officeDocument/2006/relationships/hyperlink" Target="https://my.zakupki.prom.ua/remote/dispatcher/state_purchase_view/22934718" TargetMode="External"/>
  <ns0:Relationship Id="rId651" Type="http://schemas.openxmlformats.org/officeDocument/2006/relationships/hyperlink" Target="https://my.zakupki.prom.ua/remote/dispatcher/state_contracting_view/7214730" TargetMode="External"/>
  <ns0:Relationship Id="rId652" Type="http://schemas.openxmlformats.org/officeDocument/2006/relationships/hyperlink" Target="https://my.zakupki.prom.ua/remote/dispatcher/state_purchase_view/22934415" TargetMode="External"/>
  <ns0:Relationship Id="rId653" Type="http://schemas.openxmlformats.org/officeDocument/2006/relationships/hyperlink" Target="https://my.zakupki.prom.ua/remote/dispatcher/state_contracting_view/7214682" TargetMode="External"/>
  <ns0:Relationship Id="rId654" Type="http://schemas.openxmlformats.org/officeDocument/2006/relationships/hyperlink" Target="https://my.zakupki.prom.ua/remote/dispatcher/state_purchase_view/31792234" TargetMode="External"/>
  <ns0:Relationship Id="rId655" Type="http://schemas.openxmlformats.org/officeDocument/2006/relationships/hyperlink" Target="https://my.zakupki.prom.ua/remote/dispatcher/state_contracting_view/11364441" TargetMode="External"/>
  <ns0:Relationship Id="rId656" Type="http://schemas.openxmlformats.org/officeDocument/2006/relationships/hyperlink" Target="https://my.zakupki.prom.ua/remote/dispatcher/state_purchase_view/25238402" TargetMode="External"/>
  <ns0:Relationship Id="rId657" Type="http://schemas.openxmlformats.org/officeDocument/2006/relationships/hyperlink" Target="https://my.zakupki.prom.ua/remote/dispatcher/state_contracting_view/8273379" TargetMode="External"/>
  <ns0:Relationship Id="rId658" Type="http://schemas.openxmlformats.org/officeDocument/2006/relationships/hyperlink" Target="https://my.zakupki.prom.ua/remote/dispatcher/state_purchase_view/25229806" TargetMode="External"/>
  <ns0:Relationship Id="rId659" Type="http://schemas.openxmlformats.org/officeDocument/2006/relationships/hyperlink" Target="https://my.zakupki.prom.ua/remote/dispatcher/state_contracting_view/8260757" TargetMode="External"/>
  <ns0:Relationship Id="rId660" Type="http://schemas.openxmlformats.org/officeDocument/2006/relationships/hyperlink" Target="https://my.zakupki.prom.ua/remote/dispatcher/state_purchase_view/24871280" TargetMode="External"/>
  <ns0:Relationship Id="rId661" Type="http://schemas.openxmlformats.org/officeDocument/2006/relationships/hyperlink" Target="https://my.zakupki.prom.ua/remote/dispatcher/state_contracting_view/8079331" TargetMode="External"/>
  <ns0:Relationship Id="rId662" Type="http://schemas.openxmlformats.org/officeDocument/2006/relationships/hyperlink" Target="https://my.zakupki.prom.ua/remote/dispatcher/state_purchase_view/24962946" TargetMode="External"/>
  <ns0:Relationship Id="rId663" Type="http://schemas.openxmlformats.org/officeDocument/2006/relationships/hyperlink" Target="https://my.zakupki.prom.ua/remote/dispatcher/state_contracting_view/8119407" TargetMode="External"/>
  <ns0:Relationship Id="rId664" Type="http://schemas.openxmlformats.org/officeDocument/2006/relationships/hyperlink" Target="https://my.zakupki.prom.ua/remote/dispatcher/state_purchase_view/26604952" TargetMode="External"/>
  <ns0:Relationship Id="rId665" Type="http://schemas.openxmlformats.org/officeDocument/2006/relationships/hyperlink" Target="https://my.zakupki.prom.ua/remote/dispatcher/state_contracting_view/8903903" TargetMode="External"/>
  <ns0:Relationship Id="rId666" Type="http://schemas.openxmlformats.org/officeDocument/2006/relationships/hyperlink" Target="https://my.zakupki.prom.ua/remote/dispatcher/state_purchase_view/31477170" TargetMode="External"/>
  <ns0:Relationship Id="rId667" Type="http://schemas.openxmlformats.org/officeDocument/2006/relationships/hyperlink" Target="https://my.zakupki.prom.ua/remote/dispatcher/state_contracting_view/11440388" TargetMode="External"/>
  <ns0:Relationship Id="rId668" Type="http://schemas.openxmlformats.org/officeDocument/2006/relationships/hyperlink" Target="https://my.zakupki.prom.ua/remote/dispatcher/state_purchase_view/24757402" TargetMode="External"/>
  <ns0:Relationship Id="rId669" Type="http://schemas.openxmlformats.org/officeDocument/2006/relationships/hyperlink" Target="https://my.zakupki.prom.ua/remote/dispatcher/state_contracting_view/8514374" TargetMode="External"/>
  <ns0:Relationship Id="rId670" Type="http://schemas.openxmlformats.org/officeDocument/2006/relationships/hyperlink" Target="https://my.zakupki.prom.ua/remote/dispatcher/state_purchase_view/25526844" TargetMode="External"/>
  <ns0:Relationship Id="rId671" Type="http://schemas.openxmlformats.org/officeDocument/2006/relationships/hyperlink" Target="https://my.zakupki.prom.ua/remote/dispatcher/state_contracting_view/8387920" TargetMode="External"/>
  <ns0:Relationship Id="rId672" Type="http://schemas.openxmlformats.org/officeDocument/2006/relationships/hyperlink" Target="https://my.zakupki.prom.ua/remote/dispatcher/state_purchase_view/25521995" TargetMode="External"/>
  <ns0:Relationship Id="rId673" Type="http://schemas.openxmlformats.org/officeDocument/2006/relationships/hyperlink" Target="https://my.zakupki.prom.ua/remote/dispatcher/state_contracting_view/8385630" TargetMode="External"/>
  <ns0:Relationship Id="rId674" Type="http://schemas.openxmlformats.org/officeDocument/2006/relationships/hyperlink" Target="https://my.zakupki.prom.ua/remote/dispatcher/state_purchase_view/25635384" TargetMode="External"/>
  <ns0:Relationship Id="rId675" Type="http://schemas.openxmlformats.org/officeDocument/2006/relationships/hyperlink" Target="https://my.zakupki.prom.ua/remote/dispatcher/state_contracting_view/8443412" TargetMode="External"/>
  <ns0:Relationship Id="rId676" Type="http://schemas.openxmlformats.org/officeDocument/2006/relationships/hyperlink" Target="https://my.zakupki.prom.ua/remote/dispatcher/state_purchase_view/27739621" TargetMode="External"/>
  <ns0:Relationship Id="rId677" Type="http://schemas.openxmlformats.org/officeDocument/2006/relationships/hyperlink" Target="https://my.zakupki.prom.ua/remote/dispatcher/state_contracting_view/9442520" TargetMode="External"/>
  <ns0:Relationship Id="rId678" Type="http://schemas.openxmlformats.org/officeDocument/2006/relationships/hyperlink" Target="https://my.zakupki.prom.ua/remote/dispatcher/state_purchase_view/27742911" TargetMode="External"/>
  <ns0:Relationship Id="rId679" Type="http://schemas.openxmlformats.org/officeDocument/2006/relationships/hyperlink" Target="https://my.zakupki.prom.ua/remote/dispatcher/state_contracting_view/9444551" TargetMode="External"/>
  <ns0:Relationship Id="rId680" Type="http://schemas.openxmlformats.org/officeDocument/2006/relationships/hyperlink" Target="https://my.zakupki.prom.ua/remote/dispatcher/state_purchase_view/25562762" TargetMode="External"/>
  <ns0:Relationship Id="rId681" Type="http://schemas.openxmlformats.org/officeDocument/2006/relationships/hyperlink" Target="https://my.zakupki.prom.ua/remote/dispatcher/state_contracting_view/8405187" TargetMode="External"/>
  <ns0:Relationship Id="rId682" Type="http://schemas.openxmlformats.org/officeDocument/2006/relationships/hyperlink" Target="https://my.zakupki.prom.ua/remote/dispatcher/state_purchase_view/25433771" TargetMode="External"/>
  <ns0:Relationship Id="rId683" Type="http://schemas.openxmlformats.org/officeDocument/2006/relationships/hyperlink" Target="https://my.zakupki.prom.ua/remote/dispatcher/state_contracting_view/8343992" TargetMode="External"/>
  <ns0:Relationship Id="rId684" Type="http://schemas.openxmlformats.org/officeDocument/2006/relationships/hyperlink" Target="https://my.zakupki.prom.ua/remote/dispatcher/state_purchase_view/25700115" TargetMode="External"/>
  <ns0:Relationship Id="rId685" Type="http://schemas.openxmlformats.org/officeDocument/2006/relationships/hyperlink" Target="https://my.zakupki.prom.ua/remote/dispatcher/state_contracting_view/8470297" TargetMode="External"/>
  <ns0:Relationship Id="rId686" Type="http://schemas.openxmlformats.org/officeDocument/2006/relationships/hyperlink" Target="https://my.zakupki.prom.ua/remote/dispatcher/state_purchase_view/24377097" TargetMode="External"/>
  <ns0:Relationship Id="rId687" Type="http://schemas.openxmlformats.org/officeDocument/2006/relationships/hyperlink" Target="https://my.zakupki.prom.ua/remote/dispatcher/state_contracting_view/7839649" TargetMode="External"/>
  <ns0:Relationship Id="rId688" Type="http://schemas.openxmlformats.org/officeDocument/2006/relationships/hyperlink" Target="https://my.zakupki.prom.ua/remote/dispatcher/state_purchase_view/24284759" TargetMode="External"/>
  <ns0:Relationship Id="rId689" Type="http://schemas.openxmlformats.org/officeDocument/2006/relationships/hyperlink" Target="https://my.zakupki.prom.ua/remote/dispatcher/state_contracting_view/7796036" TargetMode="External"/>
  <ns0:Relationship Id="rId690" Type="http://schemas.openxmlformats.org/officeDocument/2006/relationships/hyperlink" Target="https://my.zakupki.prom.ua/remote/dispatcher/state_purchase_view/31939062" TargetMode="External"/>
  <ns0:Relationship Id="rId691" Type="http://schemas.openxmlformats.org/officeDocument/2006/relationships/hyperlink" Target="https://my.zakupki.prom.ua/remote/dispatcher/state_contracting_view/11392035" TargetMode="External"/>
  <ns0:Relationship Id="rId692" Type="http://schemas.openxmlformats.org/officeDocument/2006/relationships/hyperlink" Target="https://my.zakupki.prom.ua/remote/dispatcher/state_purchase_view/26552422" TargetMode="External"/>
  <ns0:Relationship Id="rId693" Type="http://schemas.openxmlformats.org/officeDocument/2006/relationships/hyperlink" Target="https://my.zakupki.prom.ua/remote/dispatcher/state_contracting_view/8879392" TargetMode="External"/>
  <ns0:Relationship Id="rId694" Type="http://schemas.openxmlformats.org/officeDocument/2006/relationships/hyperlink" Target="https://my.zakupki.prom.ua/remote/dispatcher/state_purchase_view/26343232" TargetMode="External"/>
  <ns0:Relationship Id="rId695" Type="http://schemas.openxmlformats.org/officeDocument/2006/relationships/hyperlink" Target="https://my.zakupki.prom.ua/remote/dispatcher/state_contracting_view/9173641" TargetMode="External"/>
  <ns0:Relationship Id="rId696" Type="http://schemas.openxmlformats.org/officeDocument/2006/relationships/hyperlink" Target="https://my.zakupki.prom.ua/remote/dispatcher/state_purchase_view/26338744" TargetMode="External"/>
  <ns0:Relationship Id="rId697" Type="http://schemas.openxmlformats.org/officeDocument/2006/relationships/hyperlink" Target="https://my.zakupki.prom.ua/remote/dispatcher/state_contracting_view/8777372" TargetMode="External"/>
  <ns0:Relationship Id="rId698" Type="http://schemas.openxmlformats.org/officeDocument/2006/relationships/hyperlink" Target="https://my.zakupki.prom.ua/remote/dispatcher/state_purchase_view/26334841" TargetMode="External"/>
  <ns0:Relationship Id="rId699" Type="http://schemas.openxmlformats.org/officeDocument/2006/relationships/hyperlink" Target="https://my.zakupki.prom.ua/remote/dispatcher/state_contracting_view/8777246" TargetMode="External"/>
  <ns0:Relationship Id="rId700" Type="http://schemas.openxmlformats.org/officeDocument/2006/relationships/hyperlink" Target="https://my.zakupki.prom.ua/remote/dispatcher/state_purchase_view/25266812" TargetMode="External"/>
  <ns0:Relationship Id="rId701" Type="http://schemas.openxmlformats.org/officeDocument/2006/relationships/hyperlink" Target="https://my.zakupki.prom.ua/remote/dispatcher/state_contracting_view/8285630" TargetMode="External"/>
  <ns0:Relationship Id="rId702" Type="http://schemas.openxmlformats.org/officeDocument/2006/relationships/hyperlink" Target="https://my.zakupki.prom.ua/remote/dispatcher/state_purchase_view/28571538" TargetMode="External"/>
  <ns0:Relationship Id="rId703" Type="http://schemas.openxmlformats.org/officeDocument/2006/relationships/hyperlink" Target="https://my.zakupki.prom.ua/remote/dispatcher/state_contracting_view/9836530" TargetMode="External"/>
  <ns0:Relationship Id="rId704" Type="http://schemas.openxmlformats.org/officeDocument/2006/relationships/hyperlink" Target="https://my.zakupki.prom.ua/remote/dispatcher/state_purchase_view/28372747" TargetMode="External"/>
  <ns0:Relationship Id="rId705" Type="http://schemas.openxmlformats.org/officeDocument/2006/relationships/hyperlink" Target="https://my.zakupki.prom.ua/remote/dispatcher/state_contracting_view/9742828" TargetMode="External"/>
  <ns0:Relationship Id="rId706" Type="http://schemas.openxmlformats.org/officeDocument/2006/relationships/hyperlink" Target="https://my.zakupki.prom.ua/remote/dispatcher/state_purchase_view/30290511" TargetMode="External"/>
  <ns0:Relationship Id="rId707" Type="http://schemas.openxmlformats.org/officeDocument/2006/relationships/hyperlink" Target="https://my.zakupki.prom.ua/remote/dispatcher/state_contracting_view/10634206" TargetMode="External"/>
  <ns0:Relationship Id="rId708" Type="http://schemas.openxmlformats.org/officeDocument/2006/relationships/hyperlink" Target="https://my.zakupki.prom.ua/remote/dispatcher/state_purchase_view/30050582" TargetMode="External"/>
  <ns0:Relationship Id="rId709" Type="http://schemas.openxmlformats.org/officeDocument/2006/relationships/hyperlink" Target="https://my.zakupki.prom.ua/remote/dispatcher/state_contracting_view/10544046" TargetMode="External"/>
  <ns0:Relationship Id="rId710" Type="http://schemas.openxmlformats.org/officeDocument/2006/relationships/hyperlink" Target="https://my.zakupki.prom.ua/remote/dispatcher/state_purchase_view/30254630" TargetMode="External"/>
  <ns0:Relationship Id="rId711" Type="http://schemas.openxmlformats.org/officeDocument/2006/relationships/hyperlink" Target="https://my.zakupki.prom.ua/remote/dispatcher/state_contracting_view/10617584" TargetMode="External"/>
  <ns0:Relationship Id="rId712" Type="http://schemas.openxmlformats.org/officeDocument/2006/relationships/hyperlink" Target="https://my.zakupki.prom.ua/remote/dispatcher/state_purchase_view/29434683" TargetMode="External"/>
  <ns0:Relationship Id="rId713" Type="http://schemas.openxmlformats.org/officeDocument/2006/relationships/hyperlink" Target="https://my.zakupki.prom.ua/remote/dispatcher/state_contracting_view/10239032" TargetMode="External"/>
  <ns0:Relationship Id="rId714" Type="http://schemas.openxmlformats.org/officeDocument/2006/relationships/hyperlink" Target="https://my.zakupki.prom.ua/remote/dispatcher/state_purchase_view/27908615" TargetMode="External"/>
  <ns0:Relationship Id="rId715" Type="http://schemas.openxmlformats.org/officeDocument/2006/relationships/hyperlink" Target="https://my.zakupki.prom.ua/remote/dispatcher/state_contracting_view/9524162" TargetMode="External"/>
  <ns0:Relationship Id="rId716" Type="http://schemas.openxmlformats.org/officeDocument/2006/relationships/hyperlink" Target="https://my.zakupki.prom.ua/remote/dispatcher/state_purchase_view/29114917" TargetMode="External"/>
  <ns0:Relationship Id="rId717" Type="http://schemas.openxmlformats.org/officeDocument/2006/relationships/hyperlink" Target="https://my.zakupki.prom.ua/remote/dispatcher/state_contracting_view/10089022" TargetMode="External"/>
  <ns0:Relationship Id="rId718" Type="http://schemas.openxmlformats.org/officeDocument/2006/relationships/hyperlink" Target="https://my.zakupki.prom.ua/remote/dispatcher/state_purchase_view/25879265" TargetMode="External"/>
  <ns0:Relationship Id="rId719" Type="http://schemas.openxmlformats.org/officeDocument/2006/relationships/hyperlink" Target="https://my.zakupki.prom.ua/remote/dispatcher/state_contracting_view/8555839" TargetMode="External"/>
  <ns0:Relationship Id="rId720" Type="http://schemas.openxmlformats.org/officeDocument/2006/relationships/hyperlink" Target="https://my.zakupki.prom.ua/remote/dispatcher/state_purchase_view/23579430" TargetMode="External"/>
  <ns0:Relationship Id="rId721" Type="http://schemas.openxmlformats.org/officeDocument/2006/relationships/hyperlink" Target="https://my.zakupki.prom.ua/remote/dispatcher/state_contracting_view/7568787" TargetMode="External"/>
  <ns0:Relationship Id="rId722" Type="http://schemas.openxmlformats.org/officeDocument/2006/relationships/hyperlink" Target="https://my.zakupki.prom.ua/remote/dispatcher/state_purchase_view/32478081" TargetMode="External"/>
  <ns0:Relationship Id="rId723" Type="http://schemas.openxmlformats.org/officeDocument/2006/relationships/hyperlink" Target="https://my.zakupki.prom.ua/remote/dispatcher/state_contracting_view/11640732" TargetMode="External"/>
  <ns0:Relationship Id="rId724" Type="http://schemas.openxmlformats.org/officeDocument/2006/relationships/hyperlink" Target="https://my.zakupki.prom.ua/remote/dispatcher/state_purchase_view/23041827" TargetMode="External"/>
  <ns0:Relationship Id="rId725" Type="http://schemas.openxmlformats.org/officeDocument/2006/relationships/hyperlink" Target="https://my.zakupki.prom.ua/remote/dispatcher/state_contracting_view/7251480" TargetMode="External"/>
  <ns0:Relationship Id="rId726" Type="http://schemas.openxmlformats.org/officeDocument/2006/relationships/hyperlink" Target="https://my.zakupki.prom.ua/remote/dispatcher/state_purchase_view/22935348" TargetMode="External"/>
  <ns0:Relationship Id="rId727" Type="http://schemas.openxmlformats.org/officeDocument/2006/relationships/hyperlink" Target="https://my.zakupki.prom.ua/remote/dispatcher/state_contracting_view/7214998" TargetMode="External"/>
  <ns0:Relationship Id="rId728" Type="http://schemas.openxmlformats.org/officeDocument/2006/relationships/hyperlink" Target="https://my.zakupki.prom.ua/remote/dispatcher/state_purchase_view/22930930" TargetMode="External"/>
  <ns0:Relationship Id="rId729" Type="http://schemas.openxmlformats.org/officeDocument/2006/relationships/hyperlink" Target="https://my.zakupki.prom.ua/remote/dispatcher/state_contracting_view/7213617" TargetMode="External"/>
  <ns0:Relationship Id="rId730" Type="http://schemas.openxmlformats.org/officeDocument/2006/relationships/hyperlink" Target="https://my.zakupki.prom.ua/remote/dispatcher/state_purchase_view/22930661" TargetMode="External"/>
  <ns0:Relationship Id="rId731" Type="http://schemas.openxmlformats.org/officeDocument/2006/relationships/hyperlink" Target="https://my.zakupki.prom.ua/remote/dispatcher/state_contracting_view/7213529" TargetMode="External"/>
  <ns0:Relationship Id="rId732" Type="http://schemas.openxmlformats.org/officeDocument/2006/relationships/hyperlink" Target="https://my.zakupki.prom.ua/remote/dispatcher/state_purchase_view/24350611" TargetMode="External"/>
  <ns0:Relationship Id="rId733" Type="http://schemas.openxmlformats.org/officeDocument/2006/relationships/hyperlink" Target="https://my.zakupki.prom.ua/remote/dispatcher/state_contracting_view/7826849" TargetMode="External"/>
  <ns0:Relationship Id="rId734" Type="http://schemas.openxmlformats.org/officeDocument/2006/relationships/hyperlink" Target="https://my.zakupki.prom.ua/remote/dispatcher/state_purchase_view/29987486" TargetMode="External"/>
  <ns0:Relationship Id="rId735" Type="http://schemas.openxmlformats.org/officeDocument/2006/relationships/hyperlink" Target="https://my.zakupki.prom.ua/remote/dispatcher/state_contracting_view/10494495" TargetMode="External"/>
  <ns0:Relationship Id="rId736" Type="http://schemas.openxmlformats.org/officeDocument/2006/relationships/hyperlink" Target="https://my.zakupki.prom.ua/remote/dispatcher/state_purchase_view/23611773" TargetMode="External"/>
  <ns0:Relationship Id="rId737" Type="http://schemas.openxmlformats.org/officeDocument/2006/relationships/hyperlink" Target="https://my.zakupki.prom.ua/remote/dispatcher/state_contracting_view/7487780" TargetMode="External"/>
  <ns0:Relationship Id="rId738" Type="http://schemas.openxmlformats.org/officeDocument/2006/relationships/hyperlink" Target="https://my.zakupki.prom.ua/remote/dispatcher/state_purchase_view/24995940" TargetMode="External"/>
  <ns0:Relationship Id="rId739" Type="http://schemas.openxmlformats.org/officeDocument/2006/relationships/hyperlink" Target="https://my.zakupki.prom.ua/remote/dispatcher/state_contracting_view/8135749" TargetMode="External"/>
  <ns0:Relationship Id="rId740" Type="http://schemas.openxmlformats.org/officeDocument/2006/relationships/hyperlink" Target="https://my.zakupki.prom.ua/remote/dispatcher/state_purchase_view/24994522" TargetMode="External"/>
  <ns0:Relationship Id="rId741" Type="http://schemas.openxmlformats.org/officeDocument/2006/relationships/hyperlink" Target="https://my.zakupki.prom.ua/remote/dispatcher/state_contracting_view/8134216" TargetMode="External"/>
  <ns0:Relationship Id="rId742" Type="http://schemas.openxmlformats.org/officeDocument/2006/relationships/hyperlink" Target="https://my.zakupki.prom.ua/remote/dispatcher/state_purchase_view/24965058" TargetMode="External"/>
  <ns0:Relationship Id="rId743" Type="http://schemas.openxmlformats.org/officeDocument/2006/relationships/hyperlink" Target="https://my.zakupki.prom.ua/remote/dispatcher/state_contracting_view/8120337" TargetMode="External"/>
  <ns0:Relationship Id="rId744" Type="http://schemas.openxmlformats.org/officeDocument/2006/relationships/hyperlink" Target="https://my.zakupki.prom.ua/remote/dispatcher/state_purchase_view/25063731" TargetMode="External"/>
  <ns0:Relationship Id="rId745" Type="http://schemas.openxmlformats.org/officeDocument/2006/relationships/hyperlink" Target="https://my.zakupki.prom.ua/remote/dispatcher/state_contracting_view/8167465" TargetMode="External"/>
  <ns0:Relationship Id="rId746" Type="http://schemas.openxmlformats.org/officeDocument/2006/relationships/hyperlink" Target="https://my.zakupki.prom.ua/remote/dispatcher/state_purchase_view/25261202" TargetMode="External"/>
  <ns0:Relationship Id="rId747" Type="http://schemas.openxmlformats.org/officeDocument/2006/relationships/hyperlink" Target="https://my.zakupki.prom.ua/remote/dispatcher/state_contracting_view/8281754" TargetMode="External"/>
  <ns0:Relationship Id="rId748" Type="http://schemas.openxmlformats.org/officeDocument/2006/relationships/hyperlink" Target="https://my.zakupki.prom.ua/remote/dispatcher/state_purchase_view/25368233" TargetMode="External"/>
  <ns0:Relationship Id="rId749" Type="http://schemas.openxmlformats.org/officeDocument/2006/relationships/hyperlink" Target="https://my.zakupki.prom.ua/remote/dispatcher/state_contracting_view/8313606" TargetMode="External"/>
  <ns0:Relationship Id="rId750" Type="http://schemas.openxmlformats.org/officeDocument/2006/relationships/hyperlink" Target="https://my.zakupki.prom.ua/remote/dispatcher/state_purchase_view/25271533" TargetMode="External"/>
  <ns0:Relationship Id="rId751" Type="http://schemas.openxmlformats.org/officeDocument/2006/relationships/hyperlink" Target="https://my.zakupki.prom.ua/remote/dispatcher/state_contracting_view/8304362" TargetMode="External"/>
  <ns0:Relationship Id="rId752" Type="http://schemas.openxmlformats.org/officeDocument/2006/relationships/hyperlink" Target="https://my.zakupki.prom.ua/remote/dispatcher/state_purchase_view/24882958" TargetMode="External"/>
  <ns0:Relationship Id="rId753" Type="http://schemas.openxmlformats.org/officeDocument/2006/relationships/hyperlink" Target="https://my.zakupki.prom.ua/remote/dispatcher/state_contracting_view/8080920" TargetMode="External"/>
  <ns0:Relationship Id="rId754" Type="http://schemas.openxmlformats.org/officeDocument/2006/relationships/hyperlink" Target="https://my.zakupki.prom.ua/remote/dispatcher/state_purchase_view/25265722" TargetMode="External"/>
  <ns0:Relationship Id="rId755" Type="http://schemas.openxmlformats.org/officeDocument/2006/relationships/hyperlink" Target="https://my.zakupki.prom.ua/remote/dispatcher/state_contracting_view/8284694" TargetMode="External"/>
  <ns0:Relationship Id="rId756" Type="http://schemas.openxmlformats.org/officeDocument/2006/relationships/hyperlink" Target="https://my.zakupki.prom.ua/remote/dispatcher/state_purchase_view/32317438" TargetMode="External"/>
  <ns0:Relationship Id="rId757" Type="http://schemas.openxmlformats.org/officeDocument/2006/relationships/hyperlink" Target="https://my.zakupki.prom.ua/remote/dispatcher/state_contracting_view/11567244" TargetMode="External"/>
  <ns0:Relationship Id="rId758" Type="http://schemas.openxmlformats.org/officeDocument/2006/relationships/hyperlink" Target="https://my.zakupki.prom.ua/remote/dispatcher/state_purchase_view/24745020" TargetMode="External"/>
  <ns0:Relationship Id="rId759" Type="http://schemas.openxmlformats.org/officeDocument/2006/relationships/hyperlink" Target="https://my.zakupki.prom.ua/remote/dispatcher/state_contracting_view/8014663" TargetMode="External"/>
  <ns0:Relationship Id="rId760" Type="http://schemas.openxmlformats.org/officeDocument/2006/relationships/hyperlink" Target="https://my.zakupki.prom.ua/remote/dispatcher/state_purchase_view/30712874" TargetMode="External"/>
  <ns0:Relationship Id="rId761" Type="http://schemas.openxmlformats.org/officeDocument/2006/relationships/hyperlink" Target="https://my.zakupki.prom.ua/remote/dispatcher/state_contracting_view/10839876" TargetMode="External"/>
  <ns0:Relationship Id="rId762" Type="http://schemas.openxmlformats.org/officeDocument/2006/relationships/hyperlink" Target="https://my.zakupki.prom.ua/remote/dispatcher/state_purchase_view/25911674" TargetMode="External"/>
  <ns0:Relationship Id="rId763" Type="http://schemas.openxmlformats.org/officeDocument/2006/relationships/hyperlink" Target="https://my.zakupki.prom.ua/remote/dispatcher/state_contracting_view/8571297" TargetMode="External"/>
  <ns0:Relationship Id="rId764" Type="http://schemas.openxmlformats.org/officeDocument/2006/relationships/hyperlink" Target="https://my.zakupki.prom.ua/remote/dispatcher/state_purchase_view/25469032" TargetMode="External"/>
  <ns0:Relationship Id="rId765" Type="http://schemas.openxmlformats.org/officeDocument/2006/relationships/hyperlink" Target="https://my.zakupki.prom.ua/remote/dispatcher/state_contracting_view/8360315" TargetMode="External"/>
  <ns0:Relationship Id="rId766" Type="http://schemas.openxmlformats.org/officeDocument/2006/relationships/hyperlink" Target="https://my.zakupki.prom.ua/remote/dispatcher/state_purchase_view/24363276" TargetMode="External"/>
  <ns0:Relationship Id="rId767" Type="http://schemas.openxmlformats.org/officeDocument/2006/relationships/hyperlink" Target="https://my.zakupki.prom.ua/remote/dispatcher/state_contracting_view/7833101" TargetMode="External"/>
  <ns0:Relationship Id="rId768" Type="http://schemas.openxmlformats.org/officeDocument/2006/relationships/hyperlink" Target="https://my.zakupki.prom.ua/remote/dispatcher/state_purchase_view/25075309" TargetMode="External"/>
  <ns0:Relationship Id="rId769" Type="http://schemas.openxmlformats.org/officeDocument/2006/relationships/hyperlink" Target="https://my.zakupki.prom.ua/remote/dispatcher/state_contracting_view/8180791" TargetMode="External"/>
  <ns0:Relationship Id="rId770" Type="http://schemas.openxmlformats.org/officeDocument/2006/relationships/hyperlink" Target="https://my.zakupki.prom.ua/remote/dispatcher/state_purchase_view/26757576" TargetMode="External"/>
  <ns0:Relationship Id="rId771" Type="http://schemas.openxmlformats.org/officeDocument/2006/relationships/hyperlink" Target="https://my.zakupki.prom.ua/remote/dispatcher/state_contracting_view/9447767" TargetMode="External"/>
  <ns0:Relationship Id="rId772" Type="http://schemas.openxmlformats.org/officeDocument/2006/relationships/hyperlink" Target="https://my.zakupki.prom.ua/remote/dispatcher/state_purchase_view/23793294" TargetMode="External"/>
  <ns0:Relationship Id="rId773" Type="http://schemas.openxmlformats.org/officeDocument/2006/relationships/hyperlink" Target="https://my.zakupki.prom.ua/remote/dispatcher/state_contracting_view/7771462" TargetMode="External"/>
  <ns0:Relationship Id="rId774" Type="http://schemas.openxmlformats.org/officeDocument/2006/relationships/hyperlink" Target="https://my.zakupki.prom.ua/remote/dispatcher/state_purchase_view/27065187" TargetMode="External"/>
  <ns0:Relationship Id="rId775" Type="http://schemas.openxmlformats.org/officeDocument/2006/relationships/hyperlink" Target="https://my.zakupki.prom.ua/remote/dispatcher/state_contracting_view/9125811" TargetMode="External"/>
  <ns0:Relationship Id="rId776" Type="http://schemas.openxmlformats.org/officeDocument/2006/relationships/hyperlink" Target="https://my.zakupki.prom.ua/remote/dispatcher/state_purchase_view/27081668" TargetMode="External"/>
  <ns0:Relationship Id="rId777" Type="http://schemas.openxmlformats.org/officeDocument/2006/relationships/hyperlink" Target="https://my.zakupki.prom.ua/remote/dispatcher/state_contracting_view/9130297" TargetMode="External"/>
  <ns0:Relationship Id="rId778" Type="http://schemas.openxmlformats.org/officeDocument/2006/relationships/hyperlink" Target="https://my.zakupki.prom.ua/remote/dispatcher/state_purchase_view/27065840" TargetMode="External"/>
  <ns0:Relationship Id="rId779" Type="http://schemas.openxmlformats.org/officeDocument/2006/relationships/hyperlink" Target="https://my.zakupki.prom.ua/remote/dispatcher/state_contracting_view/9125654" TargetMode="External"/>
  <ns0:Relationship Id="rId780" Type="http://schemas.openxmlformats.org/officeDocument/2006/relationships/hyperlink" Target="https://my.zakupki.prom.ua/remote/dispatcher/state_purchase_view/30275785" TargetMode="External"/>
  <ns0:Relationship Id="rId781" Type="http://schemas.openxmlformats.org/officeDocument/2006/relationships/hyperlink" Target="https://my.zakupki.prom.ua/remote/dispatcher/state_contracting_view/10627536" TargetMode="External"/>
  <ns0:Relationship Id="rId782" Type="http://schemas.openxmlformats.org/officeDocument/2006/relationships/hyperlink" Target="https://my.zakupki.prom.ua/remote/dispatcher/state_purchase_view/30286590" TargetMode="External"/>
  <ns0:Relationship Id="rId783" Type="http://schemas.openxmlformats.org/officeDocument/2006/relationships/hyperlink" Target="https://my.zakupki.prom.ua/remote/dispatcher/state_contracting_view/10632629" TargetMode="External"/>
  <ns0:Relationship Id="rId784" Type="http://schemas.openxmlformats.org/officeDocument/2006/relationships/hyperlink" Target="https://my.zakupki.prom.ua/remote/dispatcher/state_purchase_view/25562255" TargetMode="External"/>
  <ns0:Relationship Id="rId785" Type="http://schemas.openxmlformats.org/officeDocument/2006/relationships/hyperlink" Target="https://my.zakupki.prom.ua/remote/dispatcher/state_contracting_view/8404988" TargetMode="External"/>
  <ns0:Relationship Id="rId786" Type="http://schemas.openxmlformats.org/officeDocument/2006/relationships/hyperlink" Target="https://my.zakupki.prom.ua/remote/dispatcher/state_purchase_view/26709953" TargetMode="External"/>
  <ns0:Relationship Id="rId787" Type="http://schemas.openxmlformats.org/officeDocument/2006/relationships/hyperlink" Target="https://my.zakupki.prom.ua/remote/dispatcher/state_contracting_view/8953396" TargetMode="External"/>
  <ns0:Relationship Id="rId788" Type="http://schemas.openxmlformats.org/officeDocument/2006/relationships/hyperlink" Target="https://my.zakupki.prom.ua/remote/dispatcher/state_purchase_view/26482934" TargetMode="External"/>
  <ns0:Relationship Id="rId789" Type="http://schemas.openxmlformats.org/officeDocument/2006/relationships/hyperlink" Target="https://my.zakupki.prom.ua/remote/dispatcher/state_contracting_view/8861349" TargetMode="External"/>
  <ns0:Relationship Id="rId790" Type="http://schemas.openxmlformats.org/officeDocument/2006/relationships/hyperlink" Target="https://my.zakupki.prom.ua/remote/dispatcher/state_purchase_view/26047305" TargetMode="External"/>
  <ns0:Relationship Id="rId791" Type="http://schemas.openxmlformats.org/officeDocument/2006/relationships/hyperlink" Target="https://my.zakupki.prom.ua/remote/dispatcher/state_contracting_view/8635991" TargetMode="External"/>
  <ns0:Relationship Id="rId792" Type="http://schemas.openxmlformats.org/officeDocument/2006/relationships/hyperlink" Target="https://my.zakupki.prom.ua/remote/dispatcher/state_purchase_view/23374638" TargetMode="External"/>
  <ns0:Relationship Id="rId793" Type="http://schemas.openxmlformats.org/officeDocument/2006/relationships/hyperlink" Target="https://my.zakupki.prom.ua/remote/dispatcher/state_contracting_view/7384640" TargetMode="External"/>
  <ns0:Relationship Id="rId794" Type="http://schemas.openxmlformats.org/officeDocument/2006/relationships/hyperlink" Target="https://my.zakupki.prom.ua/remote/dispatcher/state_purchase_view/23416735" TargetMode="External"/>
  <ns0:Relationship Id="rId795" Type="http://schemas.openxmlformats.org/officeDocument/2006/relationships/hyperlink" Target="https://my.zakupki.prom.ua/remote/dispatcher/state_contracting_view/7403136" TargetMode="External"/>
  <ns0:Relationship Id="rId796" Type="http://schemas.openxmlformats.org/officeDocument/2006/relationships/hyperlink" Target="https://my.zakupki.prom.ua/remote/dispatcher/state_purchase_view/23264973" TargetMode="External"/>
  <ns0:Relationship Id="rId797" Type="http://schemas.openxmlformats.org/officeDocument/2006/relationships/hyperlink" Target="https://my.zakupki.prom.ua/remote/dispatcher/state_contracting_view/7337763" TargetMode="External"/>
  <ns0:Relationship Id="rId798" Type="http://schemas.openxmlformats.org/officeDocument/2006/relationships/hyperlink" Target="https://my.zakupki.prom.ua/remote/dispatcher/state_purchase_view/28150251" TargetMode="External"/>
  <ns0:Relationship Id="rId799" Type="http://schemas.openxmlformats.org/officeDocument/2006/relationships/hyperlink" Target="https://my.zakupki.prom.ua/remote/dispatcher/state_contracting_view/9641172" TargetMode="External"/>
  <ns0:Relationship Id="rId800" Type="http://schemas.openxmlformats.org/officeDocument/2006/relationships/hyperlink" Target="https://my.zakupki.prom.ua/remote/dispatcher/state_purchase_view/30778343" TargetMode="External"/>
  <ns0:Relationship Id="rId801" Type="http://schemas.openxmlformats.org/officeDocument/2006/relationships/hyperlink" Target="https://my.zakupki.prom.ua/remote/dispatcher/state_contracting_view/10859499" TargetMode="External"/>
  <ns0:Relationship Id="rId802" Type="http://schemas.openxmlformats.org/officeDocument/2006/relationships/hyperlink" Target="https://my.zakupki.prom.ua/remote/dispatcher/state_purchase_view/22940317" TargetMode="External"/>
  <ns0:Relationship Id="rId803" Type="http://schemas.openxmlformats.org/officeDocument/2006/relationships/hyperlink" Target="https://my.zakupki.prom.ua/remote/dispatcher/state_contracting_view/7216879" TargetMode="External"/>
  <ns0:Relationship Id="rId804" Type="http://schemas.openxmlformats.org/officeDocument/2006/relationships/hyperlink" Target="https://my.zakupki.prom.ua/remote/dispatcher/state_purchase_view/32227257" TargetMode="External"/>
  <ns0:Relationship Id="rId805" Type="http://schemas.openxmlformats.org/officeDocument/2006/relationships/hyperlink" Target="https://my.zakupki.prom.ua/remote/dispatcher/state_contracting_view/12255928" TargetMode="External"/>
  <ns0:Relationship Id="rId806" Type="http://schemas.openxmlformats.org/officeDocument/2006/relationships/hyperlink" Target="https://my.zakupki.prom.ua/remote/dispatcher/state_purchase_view/32917084" TargetMode="External"/>
  <ns0:Relationship Id="rId807" Type="http://schemas.openxmlformats.org/officeDocument/2006/relationships/hyperlink" Target="https://my.zakupki.prom.ua/remote/dispatcher/state_contracting_view/11845120" TargetMode="External"/>
  <ns0:Relationship Id="rId808" Type="http://schemas.openxmlformats.org/officeDocument/2006/relationships/hyperlink" Target="https://my.zakupki.prom.ua/remote/dispatcher/state_purchase_view/25058217" TargetMode="External"/>
  <ns0:Relationship Id="rId809" Type="http://schemas.openxmlformats.org/officeDocument/2006/relationships/hyperlink" Target="https://my.zakupki.prom.ua/remote/dispatcher/state_contracting_view/8164745" TargetMode="External"/>
  <ns0:Relationship Id="rId810" Type="http://schemas.openxmlformats.org/officeDocument/2006/relationships/hyperlink" Target="https://my.zakupki.prom.ua/remote/dispatcher/state_purchase_view/25564409" TargetMode="External"/>
  <ns0:Relationship Id="rId811" Type="http://schemas.openxmlformats.org/officeDocument/2006/relationships/hyperlink" Target="https://my.zakupki.prom.ua/remote/dispatcher/state_contracting_view/8409228" TargetMode="External"/>
  <ns0:Relationship Id="rId812" Type="http://schemas.openxmlformats.org/officeDocument/2006/relationships/hyperlink" Target="https://my.zakupki.prom.ua/remote/dispatcher/state_purchase_view/26302563" TargetMode="External"/>
  <ns0:Relationship Id="rId813" Type="http://schemas.openxmlformats.org/officeDocument/2006/relationships/hyperlink" Target="https://my.zakupki.prom.ua/remote/dispatcher/state_contracting_view/8774404" TargetMode="External"/>
  <ns0:Relationship Id="rId814" Type="http://schemas.openxmlformats.org/officeDocument/2006/relationships/hyperlink" Target="https://my.zakupki.prom.ua/remote/dispatcher/state_purchase_view/25632153" TargetMode="External"/>
  <ns0:Relationship Id="rId815" Type="http://schemas.openxmlformats.org/officeDocument/2006/relationships/hyperlink" Target="https://my.zakupki.prom.ua/remote/dispatcher/state_contracting_view/8442928" TargetMode="External"/>
  <ns0:Relationship Id="rId816" Type="http://schemas.openxmlformats.org/officeDocument/2006/relationships/hyperlink" Target="https://my.zakupki.prom.ua/remote/dispatcher/state_purchase_view/25522593" TargetMode="External"/>
  <ns0:Relationship Id="rId817" Type="http://schemas.openxmlformats.org/officeDocument/2006/relationships/hyperlink" Target="https://my.zakupki.prom.ua/remote/dispatcher/state_contracting_view/8386262" TargetMode="External"/>
  <ns0:Relationship Id="rId818" Type="http://schemas.openxmlformats.org/officeDocument/2006/relationships/hyperlink" Target="https://my.zakupki.prom.ua/remote/dispatcher/state_purchase_view/26236662" TargetMode="External"/>
  <ns0:Relationship Id="rId819" Type="http://schemas.openxmlformats.org/officeDocument/2006/relationships/hyperlink" Target="https://my.zakupki.prom.ua/remote/dispatcher/state_contracting_view/8733810" TargetMode="External"/>
  <ns0:Relationship Id="rId820" Type="http://schemas.openxmlformats.org/officeDocument/2006/relationships/hyperlink" Target="https://my.zakupki.prom.ua/remote/dispatcher/state_purchase_view/26184770" TargetMode="External"/>
  <ns0:Relationship Id="rId821" Type="http://schemas.openxmlformats.org/officeDocument/2006/relationships/hyperlink" Target="https://my.zakupki.prom.ua/remote/dispatcher/state_contracting_view/8703519" TargetMode="External"/>
  <ns0:Relationship Id="rId822" Type="http://schemas.openxmlformats.org/officeDocument/2006/relationships/hyperlink" Target="https://my.zakupki.prom.ua/remote/dispatcher/state_purchase_view/25518186" TargetMode="External"/>
  <ns0:Relationship Id="rId823" Type="http://schemas.openxmlformats.org/officeDocument/2006/relationships/hyperlink" Target="https://my.zakupki.prom.ua/remote/dispatcher/state_contracting_view/8383778" TargetMode="External"/>
  <ns0:Relationship Id="rId824" Type="http://schemas.openxmlformats.org/officeDocument/2006/relationships/hyperlink" Target="https://my.zakupki.prom.ua/remote/dispatcher/state_purchase_view/26048760" TargetMode="External"/>
  <ns0:Relationship Id="rId825" Type="http://schemas.openxmlformats.org/officeDocument/2006/relationships/hyperlink" Target="https://my.zakupki.prom.ua/remote/dispatcher/state_contracting_view/8648870" TargetMode="External"/>
  <ns0:Relationship Id="rId826" Type="http://schemas.openxmlformats.org/officeDocument/2006/relationships/hyperlink" Target="https://my.zakupki.prom.ua/remote/dispatcher/state_purchase_view/25633006" TargetMode="External"/>
  <ns0:Relationship Id="rId827" Type="http://schemas.openxmlformats.org/officeDocument/2006/relationships/hyperlink" Target="https://my.zakupki.prom.ua/remote/dispatcher/state_contracting_view/8443340" TargetMode="External"/>
  <ns0:Relationship Id="rId828" Type="http://schemas.openxmlformats.org/officeDocument/2006/relationships/hyperlink" Target="https://my.zakupki.prom.ua/remote/dispatcher/state_purchase_view/27736391" TargetMode="External"/>
  <ns0:Relationship Id="rId829" Type="http://schemas.openxmlformats.org/officeDocument/2006/relationships/hyperlink" Target="https://my.zakupki.prom.ua/remote/dispatcher/state_contracting_view/9440777" TargetMode="External"/>
  <ns0:Relationship Id="rId830" Type="http://schemas.openxmlformats.org/officeDocument/2006/relationships/hyperlink" Target="https://my.zakupki.prom.ua/remote/dispatcher/state_purchase_view/31620957" TargetMode="External"/>
  <ns0:Relationship Id="rId831" Type="http://schemas.openxmlformats.org/officeDocument/2006/relationships/hyperlink" Target="https://my.zakupki.prom.ua/remote/dispatcher/state_contracting_view/11245056" TargetMode="External"/>
  <ns0:Relationship Id="rId832" Type="http://schemas.openxmlformats.org/officeDocument/2006/relationships/hyperlink" Target="https://my.zakupki.prom.ua/remote/dispatcher/state_purchase_view/33781255" TargetMode="External"/>
  <ns0:Relationship Id="rId833" Type="http://schemas.openxmlformats.org/officeDocument/2006/relationships/hyperlink" Target="https://my.zakupki.prom.ua/remote/dispatcher/state_contracting_view/12288974" TargetMode="External"/>
  <ns0:Relationship Id="rId834" Type="http://schemas.openxmlformats.org/officeDocument/2006/relationships/hyperlink" Target="https://my.zakupki.prom.ua/remote/dispatcher/state_purchase_view/31423410" TargetMode="External"/>
  <ns0:Relationship Id="rId835" Type="http://schemas.openxmlformats.org/officeDocument/2006/relationships/hyperlink" Target="https://my.zakupki.prom.ua/remote/dispatcher/state_contracting_view/11449616" TargetMode="External"/>
  <ns0:Relationship Id="rId836" Type="http://schemas.openxmlformats.org/officeDocument/2006/relationships/hyperlink" Target="https://my.zakupki.prom.ua/remote/dispatcher/state_purchase_view/31412845" TargetMode="External"/>
  <ns0:Relationship Id="rId837" Type="http://schemas.openxmlformats.org/officeDocument/2006/relationships/hyperlink" Target="https://my.zakupki.prom.ua/remote/dispatcher/state_contracting_view/11516712" TargetMode="External"/>
  <ns0:Relationship Id="rId838" Type="http://schemas.openxmlformats.org/officeDocument/2006/relationships/hyperlink" Target="https://my.zakupki.prom.ua/remote/dispatcher/state_purchase_view/30288665" TargetMode="External"/>
  <ns0:Relationship Id="rId839" Type="http://schemas.openxmlformats.org/officeDocument/2006/relationships/hyperlink" Target="https://my.zakupki.prom.ua/remote/dispatcher/state_contracting_view/10633640" TargetMode="External"/>
  <ns0:Relationship Id="rId840" Type="http://schemas.openxmlformats.org/officeDocument/2006/relationships/hyperlink" Target="https://my.zakupki.prom.ua/remote/dispatcher/state_purchase_view/30282829" TargetMode="External"/>
  <ns0:Relationship Id="rId841" Type="http://schemas.openxmlformats.org/officeDocument/2006/relationships/hyperlink" Target="https://my.zakupki.prom.ua/remote/dispatcher/state_contracting_view/10630748" TargetMode="External"/>
  <ns0:Relationship Id="rId842" Type="http://schemas.openxmlformats.org/officeDocument/2006/relationships/hyperlink" Target="https://my.zakupki.prom.ua/remote/dispatcher/state_purchase_view/29473692" TargetMode="External"/>
  <ns0:Relationship Id="rId843" Type="http://schemas.openxmlformats.org/officeDocument/2006/relationships/hyperlink" Target="https://my.zakupki.prom.ua/remote/dispatcher/state_contracting_view/10257360" TargetMode="External"/>
  <ns0:Relationship Id="rId844" Type="http://schemas.openxmlformats.org/officeDocument/2006/relationships/hyperlink" Target="https://my.zakupki.prom.ua/remote/dispatcher/state_purchase_view/27777655" TargetMode="External"/>
  <ns0:Relationship Id="rId845" Type="http://schemas.openxmlformats.org/officeDocument/2006/relationships/hyperlink" Target="https://my.zakupki.prom.ua/remote/dispatcher/state_contracting_view/9464808" TargetMode="External"/>
  <ns0:Relationship Id="rId846" Type="http://schemas.openxmlformats.org/officeDocument/2006/relationships/hyperlink" Target="https://my.zakupki.prom.ua/remote/dispatcher/state_purchase_view/31919769" TargetMode="External"/>
  <ns0:Relationship Id="rId847" Type="http://schemas.openxmlformats.org/officeDocument/2006/relationships/hyperlink" Target="https://my.zakupki.prom.ua/remote/dispatcher/state_contracting_view/11382795" TargetMode="External"/>
  <ns0:Relationship Id="rId848" Type="http://schemas.openxmlformats.org/officeDocument/2006/relationships/hyperlink" Target="https://my.zakupki.prom.ua/remote/dispatcher/state_purchase_view/31886150" TargetMode="External"/>
  <ns0:Relationship Id="rId849" Type="http://schemas.openxmlformats.org/officeDocument/2006/relationships/hyperlink" Target="https://my.zakupki.prom.ua/remote/dispatcher/state_contracting_view/11368000" TargetMode="External"/>
  <ns0:Relationship Id="rId850" Type="http://schemas.openxmlformats.org/officeDocument/2006/relationships/hyperlink" Target="https://my.zakupki.prom.ua/remote/dispatcher/state_purchase_view/26336441" TargetMode="External"/>
  <ns0:Relationship Id="rId851" Type="http://schemas.openxmlformats.org/officeDocument/2006/relationships/hyperlink" Target="https://my.zakupki.prom.ua/remote/dispatcher/state_contracting_view/8777582" TargetMode="External"/>
  <ns0:Relationship Id="rId852" Type="http://schemas.openxmlformats.org/officeDocument/2006/relationships/hyperlink" Target="https://my.zakupki.prom.ua/remote/dispatcher/state_purchase_view/26613388" TargetMode="External"/>
  <ns0:Relationship Id="rId853" Type="http://schemas.openxmlformats.org/officeDocument/2006/relationships/hyperlink" Target="https://my.zakupki.prom.ua/remote/dispatcher/state_contracting_view/8907938" TargetMode="External"/>
  <ns0:Relationship Id="rId854" Type="http://schemas.openxmlformats.org/officeDocument/2006/relationships/hyperlink" Target="https://my.zakupki.prom.ua/remote/dispatcher/state_purchase_view/29045499" TargetMode="External"/>
  <ns0:Relationship Id="rId855" Type="http://schemas.openxmlformats.org/officeDocument/2006/relationships/hyperlink" Target="https://my.zakupki.prom.ua/remote/dispatcher/state_contracting_view/10190880" TargetMode="External"/>
  <ns0:Relationship Id="rId856" Type="http://schemas.openxmlformats.org/officeDocument/2006/relationships/hyperlink" Target="https://my.zakupki.prom.ua/remote/dispatcher/state_purchase_view/29478061" TargetMode="External"/>
  <ns0:Relationship Id="rId857" Type="http://schemas.openxmlformats.org/officeDocument/2006/relationships/hyperlink" Target="https://my.zakupki.prom.ua/remote/dispatcher/state_contracting_view/10359443" TargetMode="External"/>
  <ns0:Relationship Id="rId858" Type="http://schemas.openxmlformats.org/officeDocument/2006/relationships/hyperlink" Target="https://my.zakupki.prom.ua/remote/dispatcher/state_purchase_view/31535682" TargetMode="External"/>
  <ns0:Relationship Id="rId859" Type="http://schemas.openxmlformats.org/officeDocument/2006/relationships/hyperlink" Target="https://my.zakupki.prom.ua/remote/dispatcher/state_contracting_view/11410159" TargetMode="External"/>
  <ns0:Relationship Id="rId860" Type="http://schemas.openxmlformats.org/officeDocument/2006/relationships/hyperlink" Target="https://my.zakupki.prom.ua/remote/dispatcher/state_purchase_view/31289247" TargetMode="External"/>
  <ns0:Relationship Id="rId861" Type="http://schemas.openxmlformats.org/officeDocument/2006/relationships/hyperlink" Target="https://my.zakupki.prom.ua/remote/dispatcher/state_contracting_view/11592120" TargetMode="External"/>
  <ns0:Relationship Id="rId862" Type="http://schemas.openxmlformats.org/officeDocument/2006/relationships/hyperlink" Target="https://my.zakupki.prom.ua/remote/dispatcher/state_purchase_view/27740435" TargetMode="External"/>
  <ns0:Relationship Id="rId863" Type="http://schemas.openxmlformats.org/officeDocument/2006/relationships/hyperlink" Target="https://my.zakupki.prom.ua/remote/dispatcher/state_contracting_view/9442791" TargetMode="External"/>
  <ns0:Relationship Id="rId864" Type="http://schemas.openxmlformats.org/officeDocument/2006/relationships/hyperlink" Target="https://my.zakupki.prom.ua/remote/dispatcher/state_purchase_view/27773810" TargetMode="External"/>
  <ns0:Relationship Id="rId865" Type="http://schemas.openxmlformats.org/officeDocument/2006/relationships/hyperlink" Target="https://my.zakupki.prom.ua/remote/dispatcher/state_contracting_view/9465604" TargetMode="External"/>
  <ns0:Relationship Id="rId866" Type="http://schemas.openxmlformats.org/officeDocument/2006/relationships/hyperlink" Target="https://my.zakupki.prom.ua/remote/dispatcher/state_purchase_view/27742525" TargetMode="External"/>
  <ns0:Relationship Id="rId867" Type="http://schemas.openxmlformats.org/officeDocument/2006/relationships/hyperlink" Target="https://my.zakupki.prom.ua/remote/dispatcher/state_contracting_view/9443717" TargetMode="External"/>
  <ns0:Relationship Id="rId868" Type="http://schemas.openxmlformats.org/officeDocument/2006/relationships/hyperlink" Target="https://my.zakupki.prom.ua/remote/dispatcher/state_purchase_view/25728077" TargetMode="External"/>
  <ns0:Relationship Id="rId869" Type="http://schemas.openxmlformats.org/officeDocument/2006/relationships/hyperlink" Target="https://my.zakupki.prom.ua/remote/dispatcher/state_contracting_view/8488669" TargetMode="External"/>
  <ns0:Relationship Id="rId870" Type="http://schemas.openxmlformats.org/officeDocument/2006/relationships/hyperlink" Target="https://my.zakupki.prom.ua/remote/dispatcher/state_purchase_view/29429691" TargetMode="External"/>
  <ns0:Relationship Id="rId871" Type="http://schemas.openxmlformats.org/officeDocument/2006/relationships/hyperlink" Target="https://my.zakupki.prom.ua/remote/dispatcher/state_contracting_view/10236888" TargetMode="External"/>
  <ns0:Relationship Id="rId872" Type="http://schemas.openxmlformats.org/officeDocument/2006/relationships/hyperlink" Target="https://my.zakupki.prom.ua/remote/dispatcher/state_purchase_view/30153498" TargetMode="External"/>
  <ns0:Relationship Id="rId873" Type="http://schemas.openxmlformats.org/officeDocument/2006/relationships/hyperlink" Target="https://my.zakupki.prom.ua/remote/dispatcher/state_contracting_view/10570806" TargetMode="External"/>
  <ns0:Relationship Id="rId874" Type="http://schemas.openxmlformats.org/officeDocument/2006/relationships/hyperlink" Target="https://my.zakupki.prom.ua/remote/dispatcher/state_purchase_view/24857025" TargetMode="External"/>
  <ns0:Relationship Id="rId875" Type="http://schemas.openxmlformats.org/officeDocument/2006/relationships/hyperlink" Target="https://my.zakupki.prom.ua/remote/dispatcher/state_contracting_view/8067875" TargetMode="External"/>
  <ns0:Relationship Id="rId876" Type="http://schemas.openxmlformats.org/officeDocument/2006/relationships/hyperlink" Target="https://my.zakupki.prom.ua/remote/dispatcher/state_purchase_view/24775592" TargetMode="External"/>
  <ns0:Relationship Id="rId877" Type="http://schemas.openxmlformats.org/officeDocument/2006/relationships/hyperlink" Target="https://my.zakupki.prom.ua/remote/dispatcher/state_contracting_view/8028853" TargetMode="External"/>
  <ns0:Relationship Id="rId878" Type="http://schemas.openxmlformats.org/officeDocument/2006/relationships/hyperlink" Target="https://my.zakupki.prom.ua/remote/dispatcher/state_purchase_view/25778485" TargetMode="External"/>
  <ns0:Relationship Id="rId879" Type="http://schemas.openxmlformats.org/officeDocument/2006/relationships/hyperlink" Target="https://my.zakupki.prom.ua/remote/dispatcher/state_contracting_view/9240781" TargetMode="External"/>
  <ns0:Relationship Id="rId880" Type="http://schemas.openxmlformats.org/officeDocument/2006/relationships/hyperlink" Target="https://my.zakupki.prom.ua/remote/dispatcher/state_purchase_view/24053120" TargetMode="External"/>
  <ns0:Relationship Id="rId881" Type="http://schemas.openxmlformats.org/officeDocument/2006/relationships/hyperlink" Target="https://my.zakupki.prom.ua/remote/dispatcher/state_contracting_view/7688059" TargetMode="External"/>
  <ns0:Relationship Id="rId882" Type="http://schemas.openxmlformats.org/officeDocument/2006/relationships/hyperlink" Target="https://my.zakupki.prom.ua/remote/dispatcher/state_purchase_view/27775630" TargetMode="External"/>
  <ns0:Relationship Id="rId883" Type="http://schemas.openxmlformats.org/officeDocument/2006/relationships/hyperlink" Target="https://my.zakupki.prom.ua/remote/dispatcher/state_contracting_view/9465197" TargetMode="External"/>
  <ns0:Relationship Id="rId884" Type="http://schemas.openxmlformats.org/officeDocument/2006/relationships/hyperlink" Target="https://my.zakupki.prom.ua/remote/dispatcher/state_purchase_view/28150988" TargetMode="External"/>
  <ns0:Relationship Id="rId885" Type="http://schemas.openxmlformats.org/officeDocument/2006/relationships/hyperlink" Target="https://my.zakupki.prom.ua/remote/dispatcher/state_contracting_view/9641438" TargetMode="External"/>
  <ns0:Relationship Id="rId886" Type="http://schemas.openxmlformats.org/officeDocument/2006/relationships/hyperlink" Target="https://my.zakupki.prom.ua/remote/dispatcher/state_purchase_view/33147817" TargetMode="External"/>
  <ns0:Relationship Id="rId887" Type="http://schemas.openxmlformats.org/officeDocument/2006/relationships/hyperlink" Target="https://my.zakupki.prom.ua/remote/dispatcher/state_contracting_view/11991432" TargetMode="External"/>
  <ns0:Relationship Id="rId888" Type="http://schemas.openxmlformats.org/officeDocument/2006/relationships/hyperlink" Target="https://my.zakupki.prom.ua/remote/dispatcher/state_purchase_view/33472905" TargetMode="External"/>
  <ns0:Relationship Id="rId889" Type="http://schemas.openxmlformats.org/officeDocument/2006/relationships/hyperlink" Target="https://my.zakupki.prom.ua/remote/dispatcher/state_contracting_view/12114374" TargetMode="External"/>
  <ns0:Relationship Id="rId890" Type="http://schemas.openxmlformats.org/officeDocument/2006/relationships/hyperlink" Target="https://my.zakupki.prom.ua/remote/dispatcher/state_purchase_view/24781851" TargetMode="External"/>
  <ns0:Relationship Id="rId891" Type="http://schemas.openxmlformats.org/officeDocument/2006/relationships/hyperlink" Target="https://my.zakupki.prom.ua/remote/dispatcher/state_contracting_view/8044078" TargetMode="External"/>
  <ns0:Relationship Id="rId892" Type="http://schemas.openxmlformats.org/officeDocument/2006/relationships/hyperlink" Target="https://my.zakupki.prom.ua/remote/dispatcher/state_purchase_view/25065752" TargetMode="External"/>
  <ns0:Relationship Id="rId893" Type="http://schemas.openxmlformats.org/officeDocument/2006/relationships/hyperlink" Target="https://my.zakupki.prom.ua/remote/dispatcher/state_contracting_view/8169197" TargetMode="External"/>
  <ns0:Relationship Id="rId894" Type="http://schemas.openxmlformats.org/officeDocument/2006/relationships/hyperlink" Target="https://my.zakupki.prom.ua/remote/dispatcher/state_purchase_view/23687014" TargetMode="External"/>
  <ns0:Relationship Id="rId895" Type="http://schemas.openxmlformats.org/officeDocument/2006/relationships/hyperlink" Target="https://my.zakupki.prom.ua/remote/dispatcher/state_contracting_view/7537240" TargetMode="External"/>
  <ns0:Relationship Id="rId896" Type="http://schemas.openxmlformats.org/officeDocument/2006/relationships/hyperlink" Target="https://my.zakupki.prom.ua/remote/dispatcher/state_purchase_view/25187913" TargetMode="External"/>
  <ns0:Relationship Id="rId897" Type="http://schemas.openxmlformats.org/officeDocument/2006/relationships/hyperlink" Target="https://my.zakupki.prom.ua/remote/dispatcher/state_contracting_view/8235071" TargetMode="External"/>
  <ns0:Relationship Id="rId898" Type="http://schemas.openxmlformats.org/officeDocument/2006/relationships/hyperlink" Target="https://my.zakupki.prom.ua/remote/dispatcher/state_purchase_view/26258000" TargetMode="External"/>
  <ns0:Relationship Id="rId899" Type="http://schemas.openxmlformats.org/officeDocument/2006/relationships/hyperlink" Target="https://my.zakupki.prom.ua/remote/dispatcher/state_contracting_view/8738853" TargetMode="External"/>
  <ns0:Relationship Id="rId900" Type="http://schemas.openxmlformats.org/officeDocument/2006/relationships/hyperlink" Target="https://my.zakupki.prom.ua/remote/dispatcher/state_purchase_view/26276014" TargetMode="External"/>
  <ns0:Relationship Id="rId901" Type="http://schemas.openxmlformats.org/officeDocument/2006/relationships/hyperlink" Target="https://my.zakupki.prom.ua/remote/dispatcher/state_contracting_view/8746738" TargetMode="External"/>
  <ns0:Relationship Id="rId902" Type="http://schemas.openxmlformats.org/officeDocument/2006/relationships/hyperlink" Target="https://my.zakupki.prom.ua/remote/dispatcher/state_purchase_view/24901581" TargetMode="External"/>
  <ns0:Relationship Id="rId903" Type="http://schemas.openxmlformats.org/officeDocument/2006/relationships/hyperlink" Target="https://my.zakupki.prom.ua/remote/dispatcher/state_contracting_view/8090244" TargetMode="External"/>
  <ns0:Relationship Id="rId904" Type="http://schemas.openxmlformats.org/officeDocument/2006/relationships/hyperlink" Target="https://my.zakupki.prom.ua/remote/dispatcher/state_purchase_view/24900830" TargetMode="External"/>
  <ns0:Relationship Id="rId905" Type="http://schemas.openxmlformats.org/officeDocument/2006/relationships/hyperlink" Target="https://my.zakupki.prom.ua/remote/dispatcher/state_contracting_view/8089701" TargetMode="External"/>
  <ns0:Relationship Id="rId906" Type="http://schemas.openxmlformats.org/officeDocument/2006/relationships/hyperlink" Target="https://my.zakupki.prom.ua/remote/dispatcher/state_purchase_view/24931865" TargetMode="External"/>
  <ns0:Relationship Id="rId907" Type="http://schemas.openxmlformats.org/officeDocument/2006/relationships/hyperlink" Target="https://my.zakupki.prom.ua/remote/dispatcher/state_contracting_view/8113786" TargetMode="External"/>
  <ns0:Relationship Id="rId908" Type="http://schemas.openxmlformats.org/officeDocument/2006/relationships/hyperlink" Target="https://my.zakupki.prom.ua/remote/dispatcher/state_purchase_view/24869127" TargetMode="External"/>
  <ns0:Relationship Id="rId909" Type="http://schemas.openxmlformats.org/officeDocument/2006/relationships/hyperlink" Target="https://my.zakupki.prom.ua/remote/dispatcher/state_contracting_view/8085023" TargetMode="External"/>
  <ns0:Relationship Id="rId910" Type="http://schemas.openxmlformats.org/officeDocument/2006/relationships/hyperlink" Target="https://my.zakupki.prom.ua/remote/dispatcher/state_purchase_view/24347927" TargetMode="External"/>
  <ns0:Relationship Id="rId911" Type="http://schemas.openxmlformats.org/officeDocument/2006/relationships/hyperlink" Target="https://my.zakupki.prom.ua/remote/dispatcher/state_contracting_view/7825660" TargetMode="External"/>
  <ns0:Relationship Id="rId912" Type="http://schemas.openxmlformats.org/officeDocument/2006/relationships/hyperlink" Target="https://my.zakupki.prom.ua/remote/dispatcher/state_purchase_view/30255993" TargetMode="External"/>
  <ns0:Relationship Id="rId913" Type="http://schemas.openxmlformats.org/officeDocument/2006/relationships/hyperlink" Target="https://my.zakupki.prom.ua/remote/dispatcher/state_contracting_view/10618221" TargetMode="External"/>
  <ns0:Relationship Id="rId914" Type="http://schemas.openxmlformats.org/officeDocument/2006/relationships/hyperlink" Target="https://my.zakupki.prom.ua/remote/dispatcher/state_purchase_view/24087289" TargetMode="External"/>
  <ns0:Relationship Id="rId915" Type="http://schemas.openxmlformats.org/officeDocument/2006/relationships/hyperlink" Target="https://my.zakupki.prom.ua/remote/dispatcher/state_contracting_view/7713606" TargetMode="External"/>
  <ns0:Relationship Id="rId916" Type="http://schemas.openxmlformats.org/officeDocument/2006/relationships/hyperlink" Target="https://my.zakupki.prom.ua/remote/dispatcher/state_purchase_view/25074123" TargetMode="External"/>
  <ns0:Relationship Id="rId917" Type="http://schemas.openxmlformats.org/officeDocument/2006/relationships/hyperlink" Target="https://my.zakupki.prom.ua/remote/dispatcher/state_contracting_view/8180344" TargetMode="External"/>
  <ns0:Relationship Id="rId918" Type="http://schemas.openxmlformats.org/officeDocument/2006/relationships/hyperlink" Target="https://my.zakupki.prom.ua/remote/dispatcher/state_purchase_view/33439995" TargetMode="External"/>
  <ns0:Relationship Id="rId919" Type="http://schemas.openxmlformats.org/officeDocument/2006/relationships/hyperlink" Target="https://my.zakupki.prom.ua/remote/dispatcher/state_contracting_view/12098101" TargetMode="External"/>
  <ns0:Relationship Id="rId920" Type="http://schemas.openxmlformats.org/officeDocument/2006/relationships/hyperlink" Target="https://my.zakupki.prom.ua/remote/dispatcher/state_purchase_view/30526394" TargetMode="External"/>
  <ns0:Relationship Id="rId921" Type="http://schemas.openxmlformats.org/officeDocument/2006/relationships/hyperlink" Target="https://my.zakupki.prom.ua/remote/dispatcher/state_contracting_view/10752937" TargetMode="External"/>
  <ns0:Relationship Id="rId922" Type="http://schemas.openxmlformats.org/officeDocument/2006/relationships/hyperlink" Target="https://my.zakupki.prom.ua/remote/dispatcher/state_purchase_view/26751382" TargetMode="External"/>
  <ns0:Relationship Id="rId923" Type="http://schemas.openxmlformats.org/officeDocument/2006/relationships/hyperlink" Target="https://my.zakupki.prom.ua/remote/dispatcher/state_contracting_view/8973247" TargetMode="External"/>
  <ns0:Relationship Id="rId924" Type="http://schemas.openxmlformats.org/officeDocument/2006/relationships/hyperlink" Target="https://my.zakupki.prom.ua/remote/dispatcher/state_purchase_view/26384686" TargetMode="External"/>
  <ns0:Relationship Id="rId925" Type="http://schemas.openxmlformats.org/officeDocument/2006/relationships/hyperlink" Target="https://my.zakupki.prom.ua/remote/dispatcher/state_contracting_view/8814112" TargetMode="External"/>
  <ns0:Relationship Id="rId926" Type="http://schemas.openxmlformats.org/officeDocument/2006/relationships/hyperlink" Target="https://my.zakupki.prom.ua/remote/dispatcher/state_purchase_view/26382710" TargetMode="External"/>
  <ns0:Relationship Id="rId927" Type="http://schemas.openxmlformats.org/officeDocument/2006/relationships/hyperlink" Target="https://my.zakupki.prom.ua/remote/dispatcher/state_contracting_view/8798494" TargetMode="External"/>
  <ns0:Relationship Id="rId928" Type="http://schemas.openxmlformats.org/officeDocument/2006/relationships/hyperlink" Target="https://my.zakupki.prom.ua/remote/dispatcher/state_purchase_view/31088204" TargetMode="External"/>
  <ns0:Relationship Id="rId929" Type="http://schemas.openxmlformats.org/officeDocument/2006/relationships/hyperlink" Target="https://my.zakupki.prom.ua/remote/dispatcher/state_contracting_view/11001640" TargetMode="External"/>
  <ns0:Relationship Id="rId930" Type="http://schemas.openxmlformats.org/officeDocument/2006/relationships/hyperlink" Target="https://my.zakupki.prom.ua/remote/dispatcher/state_purchase_view/31104798" TargetMode="External"/>
  <ns0:Relationship Id="rId931" Type="http://schemas.openxmlformats.org/officeDocument/2006/relationships/hyperlink" Target="https://my.zakupki.prom.ua/remote/dispatcher/state_contracting_view/11009603" TargetMode="External"/>
  <ns0:Relationship Id="rId932" Type="http://schemas.openxmlformats.org/officeDocument/2006/relationships/hyperlink" Target="https://my.zakupki.prom.ua/remote/dispatcher/state_purchase_view/25260949" TargetMode="External"/>
  <ns0:Relationship Id="rId933" Type="http://schemas.openxmlformats.org/officeDocument/2006/relationships/hyperlink" Target="https://my.zakupki.prom.ua/remote/dispatcher/state_contracting_view/8282413" TargetMode="External"/>
  <ns0:Relationship Id="rId934" Type="http://schemas.openxmlformats.org/officeDocument/2006/relationships/hyperlink" Target="https://my.zakupki.prom.ua/remote/dispatcher/state_purchase_view/25260511" TargetMode="External"/>
  <ns0:Relationship Id="rId935" Type="http://schemas.openxmlformats.org/officeDocument/2006/relationships/hyperlink" Target="https://my.zakupki.prom.ua/remote/dispatcher/state_contracting_view/8280847" TargetMode="External"/>
  <ns0:Relationship Id="rId936" Type="http://schemas.openxmlformats.org/officeDocument/2006/relationships/hyperlink" Target="https://my.zakupki.prom.ua/remote/dispatcher/state_purchase_view/24420273" TargetMode="External"/>
  <ns0:Relationship Id="rId937" Type="http://schemas.openxmlformats.org/officeDocument/2006/relationships/hyperlink" Target="https://my.zakupki.prom.ua/remote/dispatcher/state_contracting_view/7860283" TargetMode="External"/>
  <ns0:Relationship Id="rId938" Type="http://schemas.openxmlformats.org/officeDocument/2006/relationships/hyperlink" Target="https://my.zakupki.prom.ua/remote/dispatcher/state_purchase_view/26302860" TargetMode="External"/>
  <ns0:Relationship Id="rId939" Type="http://schemas.openxmlformats.org/officeDocument/2006/relationships/hyperlink" Target="https://my.zakupki.prom.ua/remote/dispatcher/state_contracting_view/8774552" TargetMode="External"/>
  <ns0:Relationship Id="rId940" Type="http://schemas.openxmlformats.org/officeDocument/2006/relationships/hyperlink" Target="https://my.zakupki.prom.ua/remote/dispatcher/state_purchase_view/23266380" TargetMode="External"/>
  <ns0:Relationship Id="rId941" Type="http://schemas.openxmlformats.org/officeDocument/2006/relationships/hyperlink" Target="https://my.zakupki.prom.ua/remote/dispatcher/state_contracting_view/7338548" TargetMode="External"/>
  <ns0:Relationship Id="rId942" Type="http://schemas.openxmlformats.org/officeDocument/2006/relationships/hyperlink" Target="https://my.zakupki.prom.ua/remote/dispatcher/state_purchase_view/30910325" TargetMode="External"/>
  <ns0:Relationship Id="rId943" Type="http://schemas.openxmlformats.org/officeDocument/2006/relationships/hyperlink" Target="https://my.zakupki.prom.ua/remote/dispatcher/state_contracting_view/10920078" TargetMode="External"/>
  <ns0:Relationship Id="rId944" Type="http://schemas.openxmlformats.org/officeDocument/2006/relationships/hyperlink" Target="https://my.zakupki.prom.ua/remote/dispatcher/state_purchase_view/22894847" TargetMode="External"/>
  <ns0:Relationship Id="rId945" Type="http://schemas.openxmlformats.org/officeDocument/2006/relationships/hyperlink" Target="https://my.zakupki.prom.ua/remote/dispatcher/state_contracting_view/7202577" TargetMode="External"/>
  <ns0:Relationship Id="rId946" Type="http://schemas.openxmlformats.org/officeDocument/2006/relationships/hyperlink" Target="https://my.zakupki.prom.ua/remote/dispatcher/state_purchase_view/26997160" TargetMode="External"/>
  <ns0:Relationship Id="rId947" Type="http://schemas.openxmlformats.org/officeDocument/2006/relationships/hyperlink" Target="https://my.zakupki.prom.ua/remote/dispatcher/state_contracting_view/9091130" TargetMode="External"/>
  <ns0:Relationship Id="rId948" Type="http://schemas.openxmlformats.org/officeDocument/2006/relationships/hyperlink" Target="https://my.zakupki.prom.ua/remote/dispatcher/state_purchase_view/26303658" TargetMode="External"/>
  <ns0:Relationship Id="rId949" Type="http://schemas.openxmlformats.org/officeDocument/2006/relationships/hyperlink" Target="https://my.zakupki.prom.ua/remote/dispatcher/state_contracting_view/8774312" TargetMode="External"/>
  <ns0:Relationship Id="rId950" Type="http://schemas.openxmlformats.org/officeDocument/2006/relationships/hyperlink" Target="https://my.zakupki.prom.ua/remote/dispatcher/state_purchase_view/24349051" TargetMode="External"/>
  <ns0:Relationship Id="rId951" Type="http://schemas.openxmlformats.org/officeDocument/2006/relationships/hyperlink" Target="https://my.zakupki.prom.ua/remote/dispatcher/state_contracting_view/7826179" TargetMode="External"/>
  <ns0:Relationship Id="rId952" Type="http://schemas.openxmlformats.org/officeDocument/2006/relationships/hyperlink" Target="https://my.zakupki.prom.ua/remote/dispatcher/state_purchase_view/24285329" TargetMode="External"/>
  <ns0:Relationship Id="rId953" Type="http://schemas.openxmlformats.org/officeDocument/2006/relationships/hyperlink" Target="https://my.zakupki.prom.ua/remote/dispatcher/state_contracting_view/7796255" TargetMode="External"/>
  <ns0:Relationship Id="rId954" Type="http://schemas.openxmlformats.org/officeDocument/2006/relationships/hyperlink" Target="https://my.zakupki.prom.ua/remote/dispatcher/state_purchase_view/24256879" TargetMode="External"/>
  <ns0:Relationship Id="rId955" Type="http://schemas.openxmlformats.org/officeDocument/2006/relationships/hyperlink" Target="https://my.zakupki.prom.ua/remote/dispatcher/state_contracting_view/7785795" TargetMode="External"/>
  <ns0:Relationship Id="rId956" Type="http://schemas.openxmlformats.org/officeDocument/2006/relationships/hyperlink" Target="https://my.zakupki.prom.ua/remote/dispatcher/state_purchase_view/25660896" TargetMode="External"/>
  <ns0:Relationship Id="rId957" Type="http://schemas.openxmlformats.org/officeDocument/2006/relationships/hyperlink" Target="https://my.zakupki.prom.ua/remote/dispatcher/state_contracting_view/8453549" TargetMode="External"/>
  <ns0:Relationship Id="rId958" Type="http://schemas.openxmlformats.org/officeDocument/2006/relationships/hyperlink" Target="https://my.zakupki.prom.ua/remote/dispatcher/state_purchase_view/25357535" TargetMode="External"/>
  <ns0:Relationship Id="rId959" Type="http://schemas.openxmlformats.org/officeDocument/2006/relationships/hyperlink" Target="https://my.zakupki.prom.ua/remote/dispatcher/state_contracting_view/8307985" TargetMode="External"/>
  <ns0:Relationship Id="rId960" Type="http://schemas.openxmlformats.org/officeDocument/2006/relationships/hyperlink" Target="https://my.zakupki.prom.ua/remote/dispatcher/state_purchase_view/25237756" TargetMode="External"/>
  <ns0:Relationship Id="rId961" Type="http://schemas.openxmlformats.org/officeDocument/2006/relationships/hyperlink" Target="https://my.zakupki.prom.ua/remote/dispatcher/state_contracting_view/8273418" TargetMode="External"/>
  <ns0:Relationship Id="rId962" Type="http://schemas.openxmlformats.org/officeDocument/2006/relationships/hyperlink" Target="https://my.zakupki.prom.ua/remote/dispatcher/state_purchase_view/28178286" TargetMode="External"/>
  <ns0:Relationship Id="rId963" Type="http://schemas.openxmlformats.org/officeDocument/2006/relationships/hyperlink" Target="https://my.zakupki.prom.ua/remote/dispatcher/state_contracting_view/9653354" TargetMode="External"/>
  <ns0:Relationship Id="rId964" Type="http://schemas.openxmlformats.org/officeDocument/2006/relationships/hyperlink" Target="https://my.zakupki.prom.ua/remote/dispatcher/state_purchase_view/24261197" TargetMode="External"/>
  <ns0:Relationship Id="rId965" Type="http://schemas.openxmlformats.org/officeDocument/2006/relationships/hyperlink" Target="https://my.zakupki.prom.ua/remote/dispatcher/state_contracting_view/7789966" TargetMode="External"/>
  <ns0:Relationship Id="rId966" Type="http://schemas.openxmlformats.org/officeDocument/2006/relationships/hyperlink" Target="https://my.zakupki.prom.ua/remote/dispatcher/state_purchase_view/23527664" TargetMode="External"/>
  <ns0:Relationship Id="rId967" Type="http://schemas.openxmlformats.org/officeDocument/2006/relationships/hyperlink" Target="https://my.zakupki.prom.ua/remote/dispatcher/state_contracting_view/7450522" TargetMode="External"/>
  <ns0:Relationship Id="rId968" Type="http://schemas.openxmlformats.org/officeDocument/2006/relationships/hyperlink" Target="https://my.zakupki.prom.ua/remote/dispatcher/state_purchase_view/23773994" TargetMode="External"/>
  <ns0:Relationship Id="rId969" Type="http://schemas.openxmlformats.org/officeDocument/2006/relationships/hyperlink" Target="https://my.zakupki.prom.ua/remote/dispatcher/state_contracting_view/7558997" TargetMode="External"/>
  <ns0:Relationship Id="rId970" Type="http://schemas.openxmlformats.org/officeDocument/2006/relationships/hyperlink" Target="https://my.zakupki.prom.ua/remote/dispatcher/state_purchase_view/26605788" TargetMode="External"/>
  <ns0:Relationship Id="rId971" Type="http://schemas.openxmlformats.org/officeDocument/2006/relationships/hyperlink" Target="https://my.zakupki.prom.ua/remote/dispatcher/state_contracting_view/8907241" TargetMode="External"/>
  <ns0:Relationship Id="rId972" Type="http://schemas.openxmlformats.org/officeDocument/2006/relationships/hyperlink" Target="https://my.zakupki.prom.ua/remote/dispatcher/state_purchase_view/26613134" TargetMode="External"/>
  <ns0:Relationship Id="rId973" Type="http://schemas.openxmlformats.org/officeDocument/2006/relationships/hyperlink" Target="https://my.zakupki.prom.ua/remote/dispatcher/state_contracting_view/8907670" TargetMode="External"/>
  <ns0:Relationship Id="rId974" Type="http://schemas.openxmlformats.org/officeDocument/2006/relationships/hyperlink" Target="https://my.zakupki.prom.ua/remote/dispatcher/state_purchase_view/26549643" TargetMode="External"/>
  <ns0:Relationship Id="rId975" Type="http://schemas.openxmlformats.org/officeDocument/2006/relationships/hyperlink" Target="https://my.zakupki.prom.ua/remote/dispatcher/state_contracting_view/8878109" TargetMode="External"/>
  <ns0:Relationship Id="rId976" Type="http://schemas.openxmlformats.org/officeDocument/2006/relationships/hyperlink" Target="https://my.zakupki.prom.ua/remote/dispatcher/state_purchase_view/26604397" TargetMode="External"/>
  <ns0:Relationship Id="rId977" Type="http://schemas.openxmlformats.org/officeDocument/2006/relationships/hyperlink" Target="https://my.zakupki.prom.ua/remote/dispatcher/state_contracting_view/8903396" TargetMode="External"/>
  <ns0:Relationship Id="rId978" Type="http://schemas.openxmlformats.org/officeDocument/2006/relationships/hyperlink" Target="https://my.zakupki.prom.ua/remote/dispatcher/state_purchase_view/30681727" TargetMode="External"/>
  <ns0:Relationship Id="rId979" Type="http://schemas.openxmlformats.org/officeDocument/2006/relationships/hyperlink" Target="https://my.zakupki.prom.ua/remote/dispatcher/state_contracting_view/10813241" TargetMode="External"/>
  <ns0:Relationship Id="rId980" Type="http://schemas.openxmlformats.org/officeDocument/2006/relationships/hyperlink" Target="https://my.zakupki.prom.ua/remote/dispatcher/state_purchase_view/24458215" TargetMode="External"/>
  <ns0:Relationship Id="rId981" Type="http://schemas.openxmlformats.org/officeDocument/2006/relationships/hyperlink" Target="https://my.zakupki.prom.ua/remote/dispatcher/state_contracting_view/7878160" TargetMode="External"/>
  <ns0:Relationship Id="rId982" Type="http://schemas.openxmlformats.org/officeDocument/2006/relationships/hyperlink" Target="https://my.zakupki.prom.ua/remote/dispatcher/state_purchase_view/27821185" TargetMode="External"/>
  <ns0:Relationship Id="rId983" Type="http://schemas.openxmlformats.org/officeDocument/2006/relationships/hyperlink" Target="https://my.zakupki.prom.ua/remote/dispatcher/state_contracting_view/9484424" TargetMode="External"/>
  <ns0:Relationship Id="rId984" Type="http://schemas.openxmlformats.org/officeDocument/2006/relationships/hyperlink" Target="https://my.zakupki.prom.ua/remote/dispatcher/state_purchase_view/29173633" TargetMode="External"/>
  <ns0:Relationship Id="rId985" Type="http://schemas.openxmlformats.org/officeDocument/2006/relationships/hyperlink" Target="https://my.zakupki.prom.ua/remote/dispatcher/state_contracting_view/10116914" TargetMode="External"/>
  <ns0:Relationship Id="rId986" Type="http://schemas.openxmlformats.org/officeDocument/2006/relationships/hyperlink" Target="https://my.zakupki.prom.ua/remote/dispatcher/state_purchase_view/32319564" TargetMode="External"/>
  <ns0:Relationship Id="rId987" Type="http://schemas.openxmlformats.org/officeDocument/2006/relationships/hyperlink" Target="https://my.zakupki.prom.ua/remote/dispatcher/state_contracting_view/11566772" TargetMode="External"/>
  <ns0:Relationship Id="rId988" Type="http://schemas.openxmlformats.org/officeDocument/2006/relationships/hyperlink" Target="https://my.zakupki.prom.ua/remote/dispatcher/state_purchase_view/25208826" TargetMode="External"/>
  <ns0:Relationship Id="rId989" Type="http://schemas.openxmlformats.org/officeDocument/2006/relationships/hyperlink" Target="https://my.zakupki.prom.ua/remote/dispatcher/state_contracting_view/8248646" TargetMode="External"/>
  <ns0:Relationship Id="rId990" Type="http://schemas.openxmlformats.org/officeDocument/2006/relationships/hyperlink" Target="https://my.zakupki.prom.ua/remote/dispatcher/state_purchase_view/25132017" TargetMode="External"/>
  <ns0:Relationship Id="rId991" Type="http://schemas.openxmlformats.org/officeDocument/2006/relationships/hyperlink" Target="https://my.zakupki.prom.ua/remote/dispatcher/state_contracting_view/8203969" TargetMode="External"/>
  <ns0:Relationship Id="rId992" Type="http://schemas.openxmlformats.org/officeDocument/2006/relationships/hyperlink" Target="https://my.zakupki.prom.ua/remote/dispatcher/state_purchase_view/24746536" TargetMode="External"/>
  <ns0:Relationship Id="rId993" Type="http://schemas.openxmlformats.org/officeDocument/2006/relationships/hyperlink" Target="https://my.zakupki.prom.ua/remote/dispatcher/state_contracting_view/8021481" TargetMode="External"/>
  <ns0:Relationship Id="rId994" Type="http://schemas.openxmlformats.org/officeDocument/2006/relationships/hyperlink" Target="https://my.zakupki.prom.ua/remote/dispatcher/state_purchase_view/24855159" TargetMode="External"/>
  <ns0:Relationship Id="rId995" Type="http://schemas.openxmlformats.org/officeDocument/2006/relationships/hyperlink" Target="https://my.zakupki.prom.ua/remote/dispatcher/state_contracting_view/8067036" TargetMode="External"/>
  <ns0:Relationship Id="rId996" Type="http://schemas.openxmlformats.org/officeDocument/2006/relationships/hyperlink" Target="https://my.zakupki.prom.ua/remote/dispatcher/state_purchase_view/24577971" TargetMode="External"/>
  <ns0:Relationship Id="rId997" Type="http://schemas.openxmlformats.org/officeDocument/2006/relationships/hyperlink" Target="https://my.zakupki.prom.ua/remote/dispatcher/state_contracting_view/7939978" TargetMode="External"/>
  <ns0:Relationship Id="rId998" Type="http://schemas.openxmlformats.org/officeDocument/2006/relationships/hyperlink" Target="https://my.zakupki.prom.ua/remote/dispatcher/state_purchase_view/24299628" TargetMode="External"/>
  <ns0:Relationship Id="rId999" Type="http://schemas.openxmlformats.org/officeDocument/2006/relationships/hyperlink" Target="https://my.zakupki.prom.ua/remote/dispatcher/state_contracting_view/7803185" TargetMode="External"/>
  <ns0:Relationship Id="rId1000" Type="http://schemas.openxmlformats.org/officeDocument/2006/relationships/hyperlink" Target="https://my.zakupki.prom.ua/remote/dispatcher/state_purchase_view/32213413" TargetMode="External"/>
  <ns0:Relationship Id="rId1001" Type="http://schemas.openxmlformats.org/officeDocument/2006/relationships/hyperlink" Target="https://my.zakupki.prom.ua/remote/dispatcher/state_contracting_view/11520112" TargetMode="External"/>
  <ns0:Relationship Id="rId1002" Type="http://schemas.openxmlformats.org/officeDocument/2006/relationships/hyperlink" Target="https://my.zakupki.prom.ua/remote/dispatcher/state_purchase_view/33549498" TargetMode="External"/>
  <ns0:Relationship Id="rId1003" Type="http://schemas.openxmlformats.org/officeDocument/2006/relationships/hyperlink" Target="https://my.zakupki.prom.ua/remote/dispatcher/state_contracting_view/12151442" TargetMode="External"/>
  <ns0:Relationship Id="rId1004" Type="http://schemas.openxmlformats.org/officeDocument/2006/relationships/hyperlink" Target="https://my.zakupki.prom.ua/remote/dispatcher/state_purchase_view/32920460" TargetMode="External"/>
  <ns0:Relationship Id="rId1005" Type="http://schemas.openxmlformats.org/officeDocument/2006/relationships/hyperlink" Target="https://my.zakupki.prom.ua/remote/dispatcher/state_contracting_view/11846150" TargetMode="External"/>
  <ns0:Relationship Id="rId1006" Type="http://schemas.openxmlformats.org/officeDocument/2006/relationships/hyperlink" Target="https://my.zakupki.prom.ua/remote/dispatcher/state_purchase_view/32917947" TargetMode="External"/>
  <ns0:Relationship Id="rId1007" Type="http://schemas.openxmlformats.org/officeDocument/2006/relationships/hyperlink" Target="https://my.zakupki.prom.ua/remote/dispatcher/state_contracting_view/11845196" TargetMode="External"/>
  <ns0:Relationship Id="rId1008" Type="http://schemas.openxmlformats.org/officeDocument/2006/relationships/hyperlink" Target="https://my.zakupki.prom.ua/remote/dispatcher/state_purchase_view/32575172" TargetMode="External"/>
  <ns0:Relationship Id="rId1009" Type="http://schemas.openxmlformats.org/officeDocument/2006/relationships/hyperlink" Target="https://my.zakupki.prom.ua/remote/dispatcher/state_contracting_view/11684619" TargetMode="External"/>
  <ns0:Relationship Id="rId1010" Type="http://schemas.openxmlformats.org/officeDocument/2006/relationships/hyperlink" Target="https://my.zakupki.prom.ua/remote/dispatcher/state_purchase_view/25828094" TargetMode="External"/>
  <ns0:Relationship Id="rId1011" Type="http://schemas.openxmlformats.org/officeDocument/2006/relationships/hyperlink" Target="https://my.zakupki.prom.ua/remote/dispatcher/state_contracting_view/8531527" TargetMode="External"/>
  <ns0:Relationship Id="rId1012" Type="http://schemas.openxmlformats.org/officeDocument/2006/relationships/hyperlink" Target="https://my.zakupki.prom.ua/remote/dispatcher/state_purchase_view/24872787" TargetMode="External"/>
  <ns0:Relationship Id="rId1013" Type="http://schemas.openxmlformats.org/officeDocument/2006/relationships/hyperlink" Target="https://my.zakupki.prom.ua/remote/dispatcher/state_contracting_view/8085230" TargetMode="External"/>
  <ns0:Relationship Id="rId1014" Type="http://schemas.openxmlformats.org/officeDocument/2006/relationships/hyperlink" Target="https://my.zakupki.prom.ua/remote/dispatcher/state_purchase_view/24790584" TargetMode="External"/>
  <ns0:Relationship Id="rId1015" Type="http://schemas.openxmlformats.org/officeDocument/2006/relationships/hyperlink" Target="https://my.zakupki.prom.ua/remote/dispatcher/state_contracting_view/8045107" TargetMode="External"/>
  <ns0:Relationship Id="rId1016" Type="http://schemas.openxmlformats.org/officeDocument/2006/relationships/hyperlink" Target="https://my.zakupki.prom.ua/remote/dispatcher/state_purchase_view/25589511" TargetMode="External"/>
  <ns0:Relationship Id="rId1017" Type="http://schemas.openxmlformats.org/officeDocument/2006/relationships/hyperlink" Target="https://my.zakupki.prom.ua/remote/dispatcher/state_contracting_view/8419427" TargetMode="External"/>
  <ns0:Relationship Id="rId1018" Type="http://schemas.openxmlformats.org/officeDocument/2006/relationships/hyperlink" Target="https://my.zakupki.prom.ua/remote/dispatcher/state_purchase_view/25588623" TargetMode="External"/>
  <ns0:Relationship Id="rId1019" Type="http://schemas.openxmlformats.org/officeDocument/2006/relationships/hyperlink" Target="https://my.zakupki.prom.ua/remote/dispatcher/state_contracting_view/8419164" TargetMode="External"/>
  <ns0:Relationship Id="rId1020" Type="http://schemas.openxmlformats.org/officeDocument/2006/relationships/hyperlink" Target="https://my.zakupki.prom.ua/remote/dispatcher/state_purchase_view/25634460" TargetMode="External"/>
  <ns0:Relationship Id="rId1021" Type="http://schemas.openxmlformats.org/officeDocument/2006/relationships/hyperlink" Target="https://my.zakupki.prom.ua/remote/dispatcher/state_contracting_view/8443050" TargetMode="External"/>
  <ns0:Relationship Id="rId1022" Type="http://schemas.openxmlformats.org/officeDocument/2006/relationships/hyperlink" Target="https://my.zakupki.prom.ua/remote/dispatcher/state_purchase_view/25533809" TargetMode="External"/>
  <ns0:Relationship Id="rId1023" Type="http://schemas.openxmlformats.org/officeDocument/2006/relationships/hyperlink" Target="https://my.zakupki.prom.ua/remote/dispatcher/state_contracting_view/8392112" TargetMode="External"/>
  <ns0:Relationship Id="rId1024" Type="http://schemas.openxmlformats.org/officeDocument/2006/relationships/hyperlink" Target="https://my.zakupki.prom.ua/remote/dispatcher/state_purchase_view/28549586" TargetMode="External"/>
  <ns0:Relationship Id="rId1025" Type="http://schemas.openxmlformats.org/officeDocument/2006/relationships/hyperlink" Target="https://my.zakupki.prom.ua/remote/dispatcher/state_contracting_view/9826706" TargetMode="External"/>
  <ns0:Relationship Id="rId1026" Type="http://schemas.openxmlformats.org/officeDocument/2006/relationships/hyperlink" Target="https://my.zakupki.prom.ua/remote/dispatcher/state_purchase_view/30291059" TargetMode="External"/>
  <ns0:Relationship Id="rId1027" Type="http://schemas.openxmlformats.org/officeDocument/2006/relationships/hyperlink" Target="https://my.zakupki.prom.ua/remote/dispatcher/state_contracting_view/10634693" TargetMode="External"/>
  <ns0:Relationship Id="rId1028" Type="http://schemas.openxmlformats.org/officeDocument/2006/relationships/hyperlink" Target="https://my.zakupki.prom.ua/remote/dispatcher/state_purchase_view/29623114" TargetMode="External"/>
  <ns0:Relationship Id="rId1029" Type="http://schemas.openxmlformats.org/officeDocument/2006/relationships/hyperlink" Target="https://my.zakupki.prom.ua/remote/dispatcher/state_contracting_view/10326976" TargetMode="External"/>
  <ns0:Relationship Id="rId1030" Type="http://schemas.openxmlformats.org/officeDocument/2006/relationships/hyperlink" Target="https://my.zakupki.prom.ua/remote/dispatcher/state_purchase_view/29968635" TargetMode="External"/>
  <ns0:Relationship Id="rId1031" Type="http://schemas.openxmlformats.org/officeDocument/2006/relationships/hyperlink" Target="https://my.zakupki.prom.ua/remote/dispatcher/state_contracting_view/10485932" TargetMode="External"/>
  <ns0:Relationship Id="rId1032" Type="http://schemas.openxmlformats.org/officeDocument/2006/relationships/hyperlink" Target="https://my.zakupki.prom.ua/remote/dispatcher/state_purchase_view/30152249" TargetMode="External"/>
  <ns0:Relationship Id="rId1033" Type="http://schemas.openxmlformats.org/officeDocument/2006/relationships/hyperlink" Target="https://my.zakupki.prom.ua/remote/dispatcher/state_contracting_view/10570405" TargetMode="External"/>
  <ns0:Relationship Id="rId1034" Type="http://schemas.openxmlformats.org/officeDocument/2006/relationships/hyperlink" Target="https://my.zakupki.prom.ua/remote/dispatcher/state_purchase_view/23878513" TargetMode="External"/>
  <ns0:Relationship Id="rId1035" Type="http://schemas.openxmlformats.org/officeDocument/2006/relationships/hyperlink" Target="https://my.zakupki.prom.ua/remote/dispatcher/state_contracting_view/7679560" TargetMode="External"/>
  <ns0:Relationship Id="rId1036" Type="http://schemas.openxmlformats.org/officeDocument/2006/relationships/hyperlink" Target="https://my.zakupki.prom.ua/remote/dispatcher/state_purchase_view/24939550" TargetMode="External"/>
  <ns0:Relationship Id="rId1037" Type="http://schemas.openxmlformats.org/officeDocument/2006/relationships/hyperlink" Target="https://my.zakupki.prom.ua/remote/dispatcher/state_contracting_view/8582822" TargetMode="External"/>
  <ns0:Relationship Id="rId1038" Type="http://schemas.openxmlformats.org/officeDocument/2006/relationships/hyperlink" Target="https://my.zakupki.prom.ua/remote/dispatcher/state_purchase_view/32485827" TargetMode="External"/>
  <ns0:Relationship Id="rId1039" Type="http://schemas.openxmlformats.org/officeDocument/2006/relationships/hyperlink" Target="https://my.zakupki.prom.ua/remote/dispatcher/state_contracting_view/11644451" TargetMode="External"/>
  <ns0:Relationship Id="rId1040" Type="http://schemas.openxmlformats.org/officeDocument/2006/relationships/hyperlink" Target="https://my.zakupki.prom.ua/remote/dispatcher/state_purchase_view/31885483" TargetMode="External"/>
  <ns0:Relationship Id="rId1041" Type="http://schemas.openxmlformats.org/officeDocument/2006/relationships/hyperlink" Target="https://my.zakupki.prom.ua/remote/dispatcher/state_contracting_view/11367331" TargetMode="External"/>
  <ns0:Relationship Id="rId1042" Type="http://schemas.openxmlformats.org/officeDocument/2006/relationships/hyperlink" Target="https://my.zakupki.prom.ua/remote/dispatcher/state_purchase_view/27737103" TargetMode="External"/>
  <ns0:Relationship Id="rId1043" Type="http://schemas.openxmlformats.org/officeDocument/2006/relationships/hyperlink" Target="https://my.zakupki.prom.ua/remote/dispatcher/state_contracting_view/9441588" TargetMode="External"/>
  <ns0:Relationship Id="rId1044" Type="http://schemas.openxmlformats.org/officeDocument/2006/relationships/hyperlink" Target="https://my.zakupki.prom.ua/remote/dispatcher/state_purchase_view/26232688" TargetMode="External"/>
  <ns0:Relationship Id="rId1045" Type="http://schemas.openxmlformats.org/officeDocument/2006/relationships/hyperlink" Target="https://my.zakupki.prom.ua/remote/dispatcher/state_contracting_view/8734041" TargetMode="External"/>
  <ns0:Relationship Id="rId1046" Type="http://schemas.openxmlformats.org/officeDocument/2006/relationships/hyperlink" Target="https://my.zakupki.prom.ua/remote/dispatcher/state_purchase_view/26101070" TargetMode="External"/>
  <ns0:Relationship Id="rId1047" Type="http://schemas.openxmlformats.org/officeDocument/2006/relationships/hyperlink" Target="https://my.zakupki.prom.ua/remote/dispatcher/state_contracting_view/8661614" TargetMode="External"/>
  <ns0:Relationship Id="rId1048" Type="http://schemas.openxmlformats.org/officeDocument/2006/relationships/hyperlink" Target="https://my.zakupki.prom.ua/remote/dispatcher/state_purchase_view/26088762" TargetMode="External"/>
  <ns0:Relationship Id="rId1049" Type="http://schemas.openxmlformats.org/officeDocument/2006/relationships/hyperlink" Target="https://my.zakupki.prom.ua/remote/dispatcher/state_contracting_view/8655787" TargetMode="External"/>
  <ns0:Relationship Id="rId1050" Type="http://schemas.openxmlformats.org/officeDocument/2006/relationships/hyperlink" Target="https://my.zakupki.prom.ua/remote/dispatcher/state_purchase_view/33853230" TargetMode="External"/>
  <ns0:Relationship Id="rId1051" Type="http://schemas.openxmlformats.org/officeDocument/2006/relationships/hyperlink" Target="https://my.zakupki.prom.ua/remote/dispatcher/state_contracting_view/12302718" TargetMode="External"/>
  <ns0:Relationship Id="rId1052" Type="http://schemas.openxmlformats.org/officeDocument/2006/relationships/hyperlink" Target="https://my.zakupki.prom.ua/remote/dispatcher/state_purchase_view/24085856" TargetMode="External"/>
  <ns0:Relationship Id="rId1053" Type="http://schemas.openxmlformats.org/officeDocument/2006/relationships/hyperlink" Target="https://my.zakupki.prom.ua/remote/dispatcher/state_contracting_view/7713012" TargetMode="External"/>
  <ns0:Relationship Id="rId1054" Type="http://schemas.openxmlformats.org/officeDocument/2006/relationships/hyperlink" Target="https://my.zakupki.prom.ua/remote/dispatcher/state_purchase_view/25633537" TargetMode="External"/>
  <ns0:Relationship Id="rId1055" Type="http://schemas.openxmlformats.org/officeDocument/2006/relationships/hyperlink" Target="https://my.zakupki.prom.ua/remote/dispatcher/state_contracting_view/8442988" TargetMode="External"/>
  <ns0:Relationship Id="rId1056" Type="http://schemas.openxmlformats.org/officeDocument/2006/relationships/hyperlink" Target="https://my.zakupki.prom.ua/remote/dispatcher/state_purchase_view/25577425" TargetMode="External"/>
  <ns0:Relationship Id="rId1057" Type="http://schemas.openxmlformats.org/officeDocument/2006/relationships/hyperlink" Target="https://my.zakupki.prom.ua/remote/dispatcher/state_contracting_view/8810105" TargetMode="External"/>
  <ns0:Relationship Id="rId1058" Type="http://schemas.openxmlformats.org/officeDocument/2006/relationships/hyperlink" Target="https://my.zakupki.prom.ua/remote/dispatcher/state_purchase_view/26110336" TargetMode="External"/>
  <ns0:Relationship Id="rId1059" Type="http://schemas.openxmlformats.org/officeDocument/2006/relationships/hyperlink" Target="https://my.zakupki.prom.ua/remote/dispatcher/state_contracting_view/8666452" TargetMode="External"/>
  <ns0:Relationship Id="rId1060" Type="http://schemas.openxmlformats.org/officeDocument/2006/relationships/hyperlink" Target="https://my.zakupki.prom.ua/remote/dispatcher/state_purchase_view/26069232" TargetMode="External"/>
  <ns0:Relationship Id="rId1061" Type="http://schemas.openxmlformats.org/officeDocument/2006/relationships/hyperlink" Target="https://my.zakupki.prom.ua/remote/dispatcher/state_contracting_view/8647395" TargetMode="External"/>
  <ns0:Relationship Id="rId1062" Type="http://schemas.openxmlformats.org/officeDocument/2006/relationships/hyperlink" Target="https://my.zakupki.prom.ua/remote/dispatcher/state_purchase_view/26049561" TargetMode="External"/>
  <ns0:Relationship Id="rId1063" Type="http://schemas.openxmlformats.org/officeDocument/2006/relationships/hyperlink" Target="https://my.zakupki.prom.ua/remote/dispatcher/state_contracting_view/8637632" TargetMode="External"/>
  <ns0:Relationship Id="rId1064" Type="http://schemas.openxmlformats.org/officeDocument/2006/relationships/hyperlink" Target="https://my.zakupki.prom.ua/remote/dispatcher/state_purchase_view/25525949" TargetMode="External"/>
  <ns0:Relationship Id="rId1065" Type="http://schemas.openxmlformats.org/officeDocument/2006/relationships/hyperlink" Target="https://my.zakupki.prom.ua/remote/dispatcher/state_contracting_view/8387378" TargetMode="External"/>
  <ns0:Relationship Id="rId1066" Type="http://schemas.openxmlformats.org/officeDocument/2006/relationships/hyperlink" Target="https://my.zakupki.prom.ua/remote/dispatcher/state_purchase_view/25556628" TargetMode="External"/>
  <ns0:Relationship Id="rId1067" Type="http://schemas.openxmlformats.org/officeDocument/2006/relationships/hyperlink" Target="https://my.zakupki.prom.ua/remote/dispatcher/state_contracting_view/8403248" TargetMode="External"/>
  <ns0:Relationship Id="rId1068" Type="http://schemas.openxmlformats.org/officeDocument/2006/relationships/hyperlink" Target="https://my.zakupki.prom.ua/remote/dispatcher/state_purchase_view/25524233" TargetMode="External"/>
  <ns0:Relationship Id="rId1069" Type="http://schemas.openxmlformats.org/officeDocument/2006/relationships/hyperlink" Target="https://my.zakupki.prom.ua/remote/dispatcher/state_contracting_view/8386746" TargetMode="External"/>
  <ns0:Relationship Id="rId1070" Type="http://schemas.openxmlformats.org/officeDocument/2006/relationships/hyperlink" Target="https://my.zakupki.prom.ua/remote/dispatcher/state_purchase_view/25523000" TargetMode="External"/>
  <ns0:Relationship Id="rId1071" Type="http://schemas.openxmlformats.org/officeDocument/2006/relationships/hyperlink" Target="https://my.zakupki.prom.ua/remote/dispatcher/state_contracting_view/8386210" TargetMode="External"/>
  <ns0:Relationship Id="rId1072" Type="http://schemas.openxmlformats.org/officeDocument/2006/relationships/hyperlink" Target="https://my.zakupki.prom.ua/remote/dispatcher/state_purchase_view/25513580" TargetMode="External"/>
  <ns0:Relationship Id="rId1073" Type="http://schemas.openxmlformats.org/officeDocument/2006/relationships/hyperlink" Target="https://my.zakupki.prom.ua/remote/dispatcher/state_contracting_view/8381291" TargetMode="External"/>
  <ns0:Relationship Id="rId1074" Type="http://schemas.openxmlformats.org/officeDocument/2006/relationships/hyperlink" Target="https://my.zakupki.prom.ua/remote/dispatcher/state_purchase_view/25254669" TargetMode="External"/>
  <ns0:Relationship Id="rId1075" Type="http://schemas.openxmlformats.org/officeDocument/2006/relationships/hyperlink" Target="https://my.zakupki.prom.ua/remote/dispatcher/state_contracting_view/8277101" TargetMode="External"/>
  <ns0:Relationship Id="rId1076" Type="http://schemas.openxmlformats.org/officeDocument/2006/relationships/hyperlink" Target="https://my.zakupki.prom.ua/remote/dispatcher/state_purchase_view/25269760" TargetMode="External"/>
  <ns0:Relationship Id="rId1077" Type="http://schemas.openxmlformats.org/officeDocument/2006/relationships/hyperlink" Target="https://my.zakupki.prom.ua/remote/dispatcher/state_contracting_view/8287423" TargetMode="External"/>
  <ns0:Relationship Id="rId1078" Type="http://schemas.openxmlformats.org/officeDocument/2006/relationships/hyperlink" Target="https://my.zakupki.prom.ua/remote/dispatcher/state_purchase_view/26107081" TargetMode="External"/>
  <ns0:Relationship Id="rId1079" Type="http://schemas.openxmlformats.org/officeDocument/2006/relationships/hyperlink" Target="https://my.zakupki.prom.ua/remote/dispatcher/state_contracting_view/8664750" TargetMode="External"/>
  <ns0:Relationship Id="rId1080" Type="http://schemas.openxmlformats.org/officeDocument/2006/relationships/hyperlink" Target="https://my.zakupki.prom.ua/remote/dispatcher/state_purchase_view/26393062" TargetMode="External"/>
  <ns0:Relationship Id="rId1081" Type="http://schemas.openxmlformats.org/officeDocument/2006/relationships/hyperlink" Target="https://my.zakupki.prom.ua/remote/dispatcher/state_contracting_view/8803872" TargetMode="External"/>
  <ns0:Relationship Id="rId1082" Type="http://schemas.openxmlformats.org/officeDocument/2006/relationships/hyperlink" Target="https://my.zakupki.prom.ua/remote/dispatcher/state_purchase_view/26401365" TargetMode="External"/>
  <ns0:Relationship Id="rId1083" Type="http://schemas.openxmlformats.org/officeDocument/2006/relationships/hyperlink" Target="https://my.zakupki.prom.ua/remote/dispatcher/state_contracting_view/8810037" TargetMode="External"/>
  <ns0:Relationship Id="rId1084" Type="http://schemas.openxmlformats.org/officeDocument/2006/relationships/hyperlink" Target="https://my.zakupki.prom.ua/remote/dispatcher/state_purchase_view/26096512" TargetMode="External"/>
  <ns0:Relationship Id="rId1085" Type="http://schemas.openxmlformats.org/officeDocument/2006/relationships/hyperlink" Target="https://my.zakupki.prom.ua/remote/dispatcher/state_contracting_view/8660215" TargetMode="External"/>
  <ns0:Relationship Id="rId1086" Type="http://schemas.openxmlformats.org/officeDocument/2006/relationships/hyperlink" Target="https://my.zakupki.prom.ua/remote/dispatcher/state_purchase_view/25510937" TargetMode="External"/>
  <ns0:Relationship Id="rId1087" Type="http://schemas.openxmlformats.org/officeDocument/2006/relationships/hyperlink" Target="https://my.zakupki.prom.ua/remote/dispatcher/state_contracting_view/8380852" TargetMode="External"/>
  <ns0:Relationship Id="rId1088" Type="http://schemas.openxmlformats.org/officeDocument/2006/relationships/hyperlink" Target="https://my.zakupki.prom.ua/remote/dispatcher/state_purchase_view/26275799" TargetMode="External"/>
  <ns0:Relationship Id="rId1089" Type="http://schemas.openxmlformats.org/officeDocument/2006/relationships/hyperlink" Target="https://my.zakupki.prom.ua/remote/dispatcher/state_contracting_view/8746642" TargetMode="External"/>
  <ns0:Relationship Id="rId1090" Type="http://schemas.openxmlformats.org/officeDocument/2006/relationships/hyperlink" Target="https://my.zakupki.prom.ua/remote/dispatcher/state_purchase_view/26258445" TargetMode="External"/>
  <ns0:Relationship Id="rId1091" Type="http://schemas.openxmlformats.org/officeDocument/2006/relationships/hyperlink" Target="https://my.zakupki.prom.ua/remote/dispatcher/state_contracting_view/8738910" TargetMode="External"/>
  <ns0:Relationship Id="rId1092" Type="http://schemas.openxmlformats.org/officeDocument/2006/relationships/hyperlink" Target="https://my.zakupki.prom.ua/remote/dispatcher/state_purchase_view/26602526" TargetMode="External"/>
  <ns0:Relationship Id="rId1093" Type="http://schemas.openxmlformats.org/officeDocument/2006/relationships/hyperlink" Target="https://my.zakupki.prom.ua/remote/dispatcher/state_contracting_view/8903115" TargetMode="External"/>
  <ns0:Relationship Id="rId1094" Type="http://schemas.openxmlformats.org/officeDocument/2006/relationships/hyperlink" Target="https://my.zakupki.prom.ua/remote/dispatcher/state_purchase_view/26211082" TargetMode="External"/>
  <ns0:Relationship Id="rId1095" Type="http://schemas.openxmlformats.org/officeDocument/2006/relationships/hyperlink" Target="https://my.zakupki.prom.ua/remote/dispatcher/state_contracting_view/8716246" TargetMode="External"/>
  <ns0:Relationship Id="rId1096" Type="http://schemas.openxmlformats.org/officeDocument/2006/relationships/hyperlink" Target="https://my.zakupki.prom.ua/remote/dispatcher/state_purchase_view/26989870" TargetMode="External"/>
  <ns0:Relationship Id="rId1097" Type="http://schemas.openxmlformats.org/officeDocument/2006/relationships/hyperlink" Target="https://my.zakupki.prom.ua/remote/dispatcher/state_contracting_view/9086984" TargetMode="External"/>
  <ns0:Relationship Id="rId1098" Type="http://schemas.openxmlformats.org/officeDocument/2006/relationships/hyperlink" Target="https://my.zakupki.prom.ua/remote/dispatcher/state_purchase_view/26506412" TargetMode="External"/>
  <ns0:Relationship Id="rId1099" Type="http://schemas.openxmlformats.org/officeDocument/2006/relationships/hyperlink" Target="https://my.zakupki.prom.ua/remote/dispatcher/state_contracting_view/8859394" TargetMode="External"/>
  <ns0:Relationship Id="rId1100" Type="http://schemas.openxmlformats.org/officeDocument/2006/relationships/hyperlink" Target="https://my.zakupki.prom.ua/remote/dispatcher/state_purchase_view/25452696" TargetMode="External"/>
  <ns0:Relationship Id="rId1101" Type="http://schemas.openxmlformats.org/officeDocument/2006/relationships/hyperlink" Target="https://my.zakupki.prom.ua/remote/dispatcher/state_contracting_view/8353177" TargetMode="External"/>
  <ns0:Relationship Id="rId1102" Type="http://schemas.openxmlformats.org/officeDocument/2006/relationships/hyperlink" Target="https://my.zakupki.prom.ua/remote/dispatcher/state_purchase_view/27303338" TargetMode="External"/>
  <ns0:Relationship Id="rId1103" Type="http://schemas.openxmlformats.org/officeDocument/2006/relationships/hyperlink" Target="https://my.zakupki.prom.ua/remote/dispatcher/state_contracting_view/9235856" TargetMode="External"/>
  <ns0:Relationship Id="rId1104" Type="http://schemas.openxmlformats.org/officeDocument/2006/relationships/hyperlink" Target="https://my.zakupki.prom.ua/remote/dispatcher/state_purchase_view/30609185" TargetMode="External"/>
  <ns0:Relationship Id="rId1105" Type="http://schemas.openxmlformats.org/officeDocument/2006/relationships/hyperlink" Target="https://my.zakupki.prom.ua/remote/dispatcher/state_contracting_view/10780790" TargetMode="External"/>
  <ns0:Relationship Id="rId1106" Type="http://schemas.openxmlformats.org/officeDocument/2006/relationships/hyperlink" Target="https://my.zakupki.prom.ua/remote/dispatcher/state_purchase_view/23378048" TargetMode="External"/>
  <ns0:Relationship Id="rId1107" Type="http://schemas.openxmlformats.org/officeDocument/2006/relationships/hyperlink" Target="https://my.zakupki.prom.ua/remote/dispatcher/state_contracting_view/7401355" TargetMode="External"/>
  <ns0:Relationship Id="rId1108" Type="http://schemas.openxmlformats.org/officeDocument/2006/relationships/hyperlink" Target="https://my.zakupki.prom.ua/remote/dispatcher/state_purchase_view/22952087" TargetMode="External"/>
  <ns0:Relationship Id="rId1109" Type="http://schemas.openxmlformats.org/officeDocument/2006/relationships/hyperlink" Target="https://my.zakupki.prom.ua/remote/dispatcher/state_contracting_view/7220379" TargetMode="External"/>
  <ns0:Relationship Id="rId1110" Type="http://schemas.openxmlformats.org/officeDocument/2006/relationships/hyperlink" Target="https://my.zakupki.prom.ua/remote/dispatcher/state_purchase_view/22935236" TargetMode="External"/>
  <ns0:Relationship Id="rId1111" Type="http://schemas.openxmlformats.org/officeDocument/2006/relationships/hyperlink" Target="https://my.zakupki.prom.ua/remote/dispatcher/state_contracting_view/7214937" TargetMode="External"/>
  <ns0:Relationship Id="rId1112" Type="http://schemas.openxmlformats.org/officeDocument/2006/relationships/hyperlink" Target="https://my.zakupki.prom.ua/remote/dispatcher/state_purchase_view/22967266" TargetMode="External"/>
  <ns0:Relationship Id="rId1113" Type="http://schemas.openxmlformats.org/officeDocument/2006/relationships/hyperlink" Target="https://my.zakupki.prom.ua/remote/dispatcher/state_contracting_view/7225203" TargetMode="External"/>
  <ns0:Relationship Id="rId1114" Type="http://schemas.openxmlformats.org/officeDocument/2006/relationships/hyperlink" Target="https://my.zakupki.prom.ua/remote/dispatcher/state_purchase_view/22933572" TargetMode="External"/>
  <ns0:Relationship Id="rId1115" Type="http://schemas.openxmlformats.org/officeDocument/2006/relationships/hyperlink" Target="https://my.zakupki.prom.ua/remote/dispatcher/state_contracting_view/7214464" TargetMode="External"/>
  <ns0:Relationship Id="rId1116" Type="http://schemas.openxmlformats.org/officeDocument/2006/relationships/hyperlink" Target="https://my.zakupki.prom.ua/remote/dispatcher/state_purchase_view/22929586" TargetMode="External"/>
  <ns0:Relationship Id="rId1117" Type="http://schemas.openxmlformats.org/officeDocument/2006/relationships/hyperlink" Target="https://my.zakupki.prom.ua/remote/dispatcher/state_contracting_view/7213151" TargetMode="External"/>
  <ns0:Relationship Id="rId1118" Type="http://schemas.openxmlformats.org/officeDocument/2006/relationships/hyperlink" Target="https://my.zakupki.prom.ua/remote/dispatcher/state_purchase_view/25371374" TargetMode="External"/>
  <ns0:Relationship Id="rId1119" Type="http://schemas.openxmlformats.org/officeDocument/2006/relationships/hyperlink" Target="https://my.zakupki.prom.ua/remote/dispatcher/state_contracting_view/8317994" TargetMode="External"/>
  <ns0:Relationship Id="rId1120" Type="http://schemas.openxmlformats.org/officeDocument/2006/relationships/hyperlink" Target="https://my.zakupki.prom.ua/remote/dispatcher/state_purchase_view/25070938" TargetMode="External"/>
  <ns0:Relationship Id="rId1121" Type="http://schemas.openxmlformats.org/officeDocument/2006/relationships/hyperlink" Target="https://my.zakupki.prom.ua/remote/dispatcher/state_contracting_view/8180030" TargetMode="External"/>
  <ns0:Relationship Id="rId1122" Type="http://schemas.openxmlformats.org/officeDocument/2006/relationships/hyperlink" Target="https://my.zakupki.prom.ua/remote/dispatcher/state_purchase_view/25257269" TargetMode="External"/>
  <ns0:Relationship Id="rId1123" Type="http://schemas.openxmlformats.org/officeDocument/2006/relationships/hyperlink" Target="https://my.zakupki.prom.ua/remote/dispatcher/state_contracting_view/8303976" TargetMode="External"/>
  <ns0:Relationship Id="rId1124" Type="http://schemas.openxmlformats.org/officeDocument/2006/relationships/hyperlink" Target="https://my.zakupki.prom.ua/remote/dispatcher/state_purchase_view/25255586" TargetMode="External"/>
  <ns0:Relationship Id="rId1125" Type="http://schemas.openxmlformats.org/officeDocument/2006/relationships/hyperlink" Target="https://my.zakupki.prom.ua/remote/dispatcher/state_contracting_view/8277922" TargetMode="External"/>
  <ns0:Relationship Id="rId1126" Type="http://schemas.openxmlformats.org/officeDocument/2006/relationships/hyperlink" Target="https://my.zakupki.prom.ua/remote/dispatcher/state_purchase_view/25078851" TargetMode="External"/>
  <ns0:Relationship Id="rId1127" Type="http://schemas.openxmlformats.org/officeDocument/2006/relationships/hyperlink" Target="https://my.zakupki.prom.ua/remote/dispatcher/state_contracting_view/8181088" TargetMode="External"/>
  <ns0:Relationship Id="rId1128" Type="http://schemas.openxmlformats.org/officeDocument/2006/relationships/hyperlink" Target="https://my.zakupki.prom.ua/remote/dispatcher/state_purchase_view/25104500" TargetMode="External"/>
  <ns0:Relationship Id="rId1129" Type="http://schemas.openxmlformats.org/officeDocument/2006/relationships/hyperlink" Target="https://my.zakupki.prom.ua/remote/dispatcher/state_contracting_view/8187286" TargetMode="External"/>
  <ns0:Relationship Id="rId1130" Type="http://schemas.openxmlformats.org/officeDocument/2006/relationships/hyperlink" Target="https://my.zakupki.prom.ua/remote/dispatcher/state_purchase_view/24582733" TargetMode="External"/>
  <ns0:Relationship Id="rId1131" Type="http://schemas.openxmlformats.org/officeDocument/2006/relationships/hyperlink" Target="https://my.zakupki.prom.ua/remote/dispatcher/state_contracting_view/8039072" TargetMode="External"/>
  <ns0:Relationship Id="rId1132" Type="http://schemas.openxmlformats.org/officeDocument/2006/relationships/hyperlink" Target="https://my.zakupki.prom.ua/remote/dispatcher/state_purchase_view/24458555" TargetMode="External"/>
  <ns0:Relationship Id="rId1133" Type="http://schemas.openxmlformats.org/officeDocument/2006/relationships/hyperlink" Target="https://my.zakupki.prom.ua/remote/dispatcher/state_contracting_view/7878306" TargetMode="External"/>
  <ns0:Relationship Id="rId1134" Type="http://schemas.openxmlformats.org/officeDocument/2006/relationships/hyperlink" Target="https://my.zakupki.prom.ua/remote/dispatcher/state_purchase_view/30679635" TargetMode="External"/>
  <ns0:Relationship Id="rId1135" Type="http://schemas.openxmlformats.org/officeDocument/2006/relationships/hyperlink" Target="https://my.zakupki.prom.ua/remote/dispatcher/state_contracting_view/10812324" TargetMode="External"/>
  <ns0:Relationship Id="rId1136" Type="http://schemas.openxmlformats.org/officeDocument/2006/relationships/hyperlink" Target="https://my.zakupki.prom.ua/remote/dispatcher/state_purchase_view/30528666" TargetMode="External"/>
  <ns0:Relationship Id="rId1137" Type="http://schemas.openxmlformats.org/officeDocument/2006/relationships/hyperlink" Target="https://my.zakupki.prom.ua/remote/dispatcher/state_contracting_view/10753157" TargetMode="External"/>
  <ns0:Relationship Id="rId1138" Type="http://schemas.openxmlformats.org/officeDocument/2006/relationships/hyperlink" Target="https://my.zakupki.prom.ua/remote/dispatcher/state_purchase_view/33826471" TargetMode="External"/>
  <ns0:Relationship Id="rId1139" Type="http://schemas.openxmlformats.org/officeDocument/2006/relationships/hyperlink" Target="https://my.zakupki.prom.ua/remote/dispatcher/state_contracting_view/12290059" TargetMode="External"/>
  <ns0:Relationship Id="rId1140" Type="http://schemas.openxmlformats.org/officeDocument/2006/relationships/hyperlink" Target="https://my.zakupki.prom.ua/remote/dispatcher/state_purchase_view/29482454" TargetMode="External"/>
  <ns0:Relationship Id="rId1141" Type="http://schemas.openxmlformats.org/officeDocument/2006/relationships/hyperlink" Target="https://my.zakupki.prom.ua/remote/dispatcher/state_contracting_view/10263181" TargetMode="External"/>
  <ns0:Relationship Id="rId1142" Type="http://schemas.openxmlformats.org/officeDocument/2006/relationships/hyperlink" Target="https://my.zakupki.prom.ua/remote/dispatcher/state_purchase_view/29435560" TargetMode="External"/>
  <ns0:Relationship Id="rId1143" Type="http://schemas.openxmlformats.org/officeDocument/2006/relationships/hyperlink" Target="https://my.zakupki.prom.ua/remote/dispatcher/state_contracting_view/10239477" TargetMode="External"/>
  <ns0:Relationship Id="rId1144" Type="http://schemas.openxmlformats.org/officeDocument/2006/relationships/hyperlink" Target="https://my.zakupki.prom.ua/remote/dispatcher/state_purchase_view/29281824" TargetMode="External"/>
  <ns0:Relationship Id="rId1145" Type="http://schemas.openxmlformats.org/officeDocument/2006/relationships/hyperlink" Target="https://my.zakupki.prom.ua/remote/dispatcher/state_contracting_view/10167730" TargetMode="External"/>
  <ns0:Relationship Id="rId1146" Type="http://schemas.openxmlformats.org/officeDocument/2006/relationships/hyperlink" Target="https://my.zakupki.prom.ua/remote/dispatcher/state_purchase_view/32489214" TargetMode="External"/>
  <ns0:Relationship Id="rId1147" Type="http://schemas.openxmlformats.org/officeDocument/2006/relationships/hyperlink" Target="https://my.zakupki.prom.ua/remote/dispatcher/state_contracting_view/11645664" TargetMode="External"/>
  <ns0:Relationship Id="rId1148" Type="http://schemas.openxmlformats.org/officeDocument/2006/relationships/hyperlink" Target="https://my.zakupki.prom.ua/remote/dispatcher/state_purchase_view/32211223" TargetMode="External"/>
  <ns0:Relationship Id="rId1149" Type="http://schemas.openxmlformats.org/officeDocument/2006/relationships/hyperlink" Target="https://my.zakupki.prom.ua/remote/dispatcher/state_contracting_view/11518012" TargetMode="External"/>
  <ns0:Relationship Id="rId1150" Type="http://schemas.openxmlformats.org/officeDocument/2006/relationships/hyperlink" Target="https://my.zakupki.prom.ua/remote/dispatcher/state_purchase_view/22908523" TargetMode="External"/>
  <ns0:Relationship Id="rId1151" Type="http://schemas.openxmlformats.org/officeDocument/2006/relationships/hyperlink" Target="https://my.zakupki.prom.ua/remote/dispatcher/state_contracting_view/7206710" TargetMode="External"/>
  <ns0:Relationship Id="rId1152" Type="http://schemas.openxmlformats.org/officeDocument/2006/relationships/hyperlink" Target="https://my.zakupki.prom.ua/remote/dispatcher/state_purchase_view/27773628" TargetMode="External"/>
  <ns0:Relationship Id="rId1153" Type="http://schemas.openxmlformats.org/officeDocument/2006/relationships/hyperlink" Target="https://my.zakupki.prom.ua/remote/dispatcher/state_contracting_view/9465460" TargetMode="External"/>
  <ns0:Relationship Id="rId1154" Type="http://schemas.openxmlformats.org/officeDocument/2006/relationships/hyperlink" Target="https://my.zakupki.prom.ua/remote/dispatcher/state_purchase_view/27061710" TargetMode="External"/>
  <ns0:Relationship Id="rId1155" Type="http://schemas.openxmlformats.org/officeDocument/2006/relationships/hyperlink" Target="https://my.zakupki.prom.ua/remote/dispatcher/state_contracting_view/9125909" TargetMode="External"/>
  <ns0:Relationship Id="rId1156" Type="http://schemas.openxmlformats.org/officeDocument/2006/relationships/hyperlink" Target="https://my.zakupki.prom.ua/remote/dispatcher/state_purchase_view/28200626" TargetMode="External"/>
  <ns0:Relationship Id="rId1157" Type="http://schemas.openxmlformats.org/officeDocument/2006/relationships/hyperlink" Target="https://my.zakupki.prom.ua/remote/dispatcher/state_contracting_view/9661354" TargetMode="External"/>
  <ns0:Relationship Id="rId1158" Type="http://schemas.openxmlformats.org/officeDocument/2006/relationships/hyperlink" Target="https://my.zakupki.prom.ua/remote/dispatcher/state_purchase_view/27771649" TargetMode="External"/>
  <ns0:Relationship Id="rId1159" Type="http://schemas.openxmlformats.org/officeDocument/2006/relationships/hyperlink" Target="https://my.zakupki.prom.ua/remote/dispatcher/state_contracting_view/9465959" TargetMode="External"/>
  <ns0:Relationship Id="rId1160" Type="http://schemas.openxmlformats.org/officeDocument/2006/relationships/hyperlink" Target="https://my.zakupki.prom.ua/remote/dispatcher/state_purchase_view/33166953" TargetMode="External"/>
  <ns0:Relationship Id="rId1161" Type="http://schemas.openxmlformats.org/officeDocument/2006/relationships/hyperlink" Target="https://my.zakupki.prom.ua/remote/dispatcher/state_contracting_view/12180515" TargetMode="External"/>
  <ns0:Relationship Id="rId1162" Type="http://schemas.openxmlformats.org/officeDocument/2006/relationships/hyperlink" Target="https://my.zakupki.prom.ua/remote/dispatcher/state_purchase_view/30100793" TargetMode="External"/>
  <ns0:Relationship Id="rId1163" Type="http://schemas.openxmlformats.org/officeDocument/2006/relationships/hyperlink" Target="https://my.zakupki.prom.ua/remote/dispatcher/state_contracting_view/10547103" TargetMode="External"/>
  <ns0:Relationship Id="rId1164" Type="http://schemas.openxmlformats.org/officeDocument/2006/relationships/hyperlink" Target="https://my.zakupki.prom.ua/remote/dispatcher/state_purchase_view/30110019" TargetMode="External"/>
  <ns0:Relationship Id="rId1165" Type="http://schemas.openxmlformats.org/officeDocument/2006/relationships/hyperlink" Target="https://my.zakupki.prom.ua/remote/dispatcher/state_contracting_view/10551184" TargetMode="External"/>
  <ns0:Relationship Id="rId1166" Type="http://schemas.openxmlformats.org/officeDocument/2006/relationships/hyperlink" Target="https://my.zakupki.prom.ua/remote/dispatcher/state_purchase_view/27823049" TargetMode="External"/>
  <ns0:Relationship Id="rId1167" Type="http://schemas.openxmlformats.org/officeDocument/2006/relationships/hyperlink" Target="https://my.zakupki.prom.ua/remote/dispatcher/state_contracting_view/9484551" TargetMode="External"/>
  <ns0:Relationship Id="rId1168" Type="http://schemas.openxmlformats.org/officeDocument/2006/relationships/hyperlink" Target="https://my.zakupki.prom.ua/remote/dispatcher/state_purchase_view/26547348" TargetMode="External"/>
  <ns0:Relationship Id="rId1169" Type="http://schemas.openxmlformats.org/officeDocument/2006/relationships/hyperlink" Target="https://my.zakupki.prom.ua/remote/dispatcher/state_contracting_view/9154346" TargetMode="External"/>
  <ns0:Relationship Id="rId1170" Type="http://schemas.openxmlformats.org/officeDocument/2006/relationships/hyperlink" Target="https://my.zakupki.prom.ua/remote/dispatcher/state_purchase_view/27298147" TargetMode="External"/>
  <ns0:Relationship Id="rId1171" Type="http://schemas.openxmlformats.org/officeDocument/2006/relationships/hyperlink" Target="https://my.zakupki.prom.ua/remote/dispatcher/state_contracting_view/9232527" TargetMode="External"/>
  <ns0:Relationship Id="rId1172" Type="http://schemas.openxmlformats.org/officeDocument/2006/relationships/hyperlink" Target="https://my.zakupki.prom.ua/remote/dispatcher/state_purchase_view/31291984" TargetMode="External"/>
  <ns0:Relationship Id="rId1173" Type="http://schemas.openxmlformats.org/officeDocument/2006/relationships/hyperlink" Target="https://my.zakupki.prom.ua/remote/dispatcher/state_contracting_view/11093773" TargetMode="External"/>
  <ns0:Relationship Id="rId1174" Type="http://schemas.openxmlformats.org/officeDocument/2006/relationships/hyperlink" Target="https://my.zakupki.prom.ua/remote/dispatcher/state_purchase_view/33825454" TargetMode="External"/>
  <ns0:Relationship Id="rId1175" Type="http://schemas.openxmlformats.org/officeDocument/2006/relationships/hyperlink" Target="https://my.zakupki.prom.ua/remote/dispatcher/state_contracting_view/12288835" TargetMode="External"/>
  <ns0:Relationship Id="rId1176" Type="http://schemas.openxmlformats.org/officeDocument/2006/relationships/hyperlink" Target="https://my.zakupki.prom.ua/remote/dispatcher/state_purchase_view/23755378" TargetMode="External"/>
  <ns0:Relationship Id="rId1177" Type="http://schemas.openxmlformats.org/officeDocument/2006/relationships/hyperlink" Target="https://my.zakupki.prom.ua/remote/dispatcher/state_contracting_view/7551215" TargetMode="External"/>
  <ns0:Relationship Id="rId1178" Type="http://schemas.openxmlformats.org/officeDocument/2006/relationships/hyperlink" Target="https://my.zakupki.prom.ua/remote/dispatcher/state_purchase_view/22938518" TargetMode="External"/>
  <ns0:Relationship Id="rId1179" Type="http://schemas.openxmlformats.org/officeDocument/2006/relationships/hyperlink" Target="https://my.zakupki.prom.ua/remote/dispatcher/state_contracting_view/7216259" TargetMode="External"/>
  <ns0:Relationship Id="rId1180" Type="http://schemas.openxmlformats.org/officeDocument/2006/relationships/hyperlink" Target="https://my.zakupki.prom.ua/remote/dispatcher/state_purchase_view/22936059" TargetMode="External"/>
  <ns0:Relationship Id="rId1181" Type="http://schemas.openxmlformats.org/officeDocument/2006/relationships/hyperlink" Target="https://my.zakupki.prom.ua/remote/dispatcher/state_contracting_view/7215276" TargetMode="External"/>
  <ns0:Relationship Id="rId1182" Type="http://schemas.openxmlformats.org/officeDocument/2006/relationships/hyperlink" Target="https://my.zakupki.prom.ua/remote/dispatcher/state_purchase_view/22935910" TargetMode="External"/>
  <ns0:Relationship Id="rId1183" Type="http://schemas.openxmlformats.org/officeDocument/2006/relationships/hyperlink" Target="https://my.zakupki.prom.ua/remote/dispatcher/state_contracting_view/7215159" TargetMode="External"/>
  <ns0:Relationship Id="rId1184" Type="http://schemas.openxmlformats.org/officeDocument/2006/relationships/hyperlink" Target="https://my.zakupki.prom.ua/remote/dispatcher/state_purchase_view/22908398" TargetMode="External"/>
  <ns0:Relationship Id="rId1185" Type="http://schemas.openxmlformats.org/officeDocument/2006/relationships/hyperlink" Target="https://my.zakupki.prom.ua/remote/dispatcher/state_contracting_view/7206616" TargetMode="External"/>
  <ns0:Relationship Id="rId1186" Type="http://schemas.openxmlformats.org/officeDocument/2006/relationships/hyperlink" Target="https://my.zakupki.prom.ua/remote/dispatcher/state_purchase_view/22864398" TargetMode="External"/>
  <ns0:Relationship Id="rId1187" Type="http://schemas.openxmlformats.org/officeDocument/2006/relationships/hyperlink" Target="https://my.zakupki.prom.ua/remote/dispatcher/state_contracting_view/7192002" TargetMode="External"/>
  <ns0:Relationship Id="rId1188" Type="http://schemas.openxmlformats.org/officeDocument/2006/relationships/hyperlink" Target="https://my.zakupki.prom.ua/remote/dispatcher/state_purchase_view/23341553" TargetMode="External"/>
  <ns0:Relationship Id="rId1189" Type="http://schemas.openxmlformats.org/officeDocument/2006/relationships/hyperlink" Target="https://my.zakupki.prom.ua/remote/dispatcher/state_contracting_view/7596162" TargetMode="External"/>
  <ns0:Relationship Id="rId1190" Type="http://schemas.openxmlformats.org/officeDocument/2006/relationships/hyperlink" Target="https://my.zakupki.prom.ua/remote/dispatcher/state_purchase_view/23323037" TargetMode="External"/>
  <ns0:Relationship Id="rId1191" Type="http://schemas.openxmlformats.org/officeDocument/2006/relationships/hyperlink" Target="https://my.zakupki.prom.ua/remote/dispatcher/state_contracting_view/7368899" TargetMode="External"/>
  <ns0:Relationship Id="rId1192" Type="http://schemas.openxmlformats.org/officeDocument/2006/relationships/hyperlink" Target="https://my.zakupki.prom.ua/remote/dispatcher/state_purchase_view/25341050" TargetMode="External"/>
  <ns0:Relationship Id="rId1193" Type="http://schemas.openxmlformats.org/officeDocument/2006/relationships/hyperlink" Target="https://my.zakupki.prom.ua/remote/dispatcher/state_contracting_view/8304091" TargetMode="External"/>
  <ns0:Relationship Id="rId1194" Type="http://schemas.openxmlformats.org/officeDocument/2006/relationships/hyperlink" Target="https://my.zakupki.prom.ua/remote/dispatcher/state_purchase_view/33303851" TargetMode="External"/>
  <ns0:Relationship Id="rId1195" Type="http://schemas.openxmlformats.org/officeDocument/2006/relationships/hyperlink" Target="https://my.zakupki.prom.ua/remote/dispatcher/state_contracting_view/12031042" TargetMode="External"/>
  <ns0:Relationship Id="rId1196" Type="http://schemas.openxmlformats.org/officeDocument/2006/relationships/hyperlink" Target="https://my.zakupki.prom.ua/remote/dispatcher/state_purchase_view/31919330" TargetMode="External"/>
  <ns0:Relationship Id="rId1197" Type="http://schemas.openxmlformats.org/officeDocument/2006/relationships/hyperlink" Target="https://my.zakupki.prom.ua/remote/dispatcher/state_contracting_view/11382760" TargetMode="External"/>
  <ns0:Relationship Id="rId1198" Type="http://schemas.openxmlformats.org/officeDocument/2006/relationships/hyperlink" Target="https://my.zakupki.prom.ua/remote/dispatcher/state_purchase_view/25435899" TargetMode="External"/>
  <ns0:Relationship Id="rId1199" Type="http://schemas.openxmlformats.org/officeDocument/2006/relationships/hyperlink" Target="https://my.zakupki.prom.ua/remote/dispatcher/state_contracting_view/8345124" TargetMode="External"/>
  <ns0:Relationship Id="rId1200" Type="http://schemas.openxmlformats.org/officeDocument/2006/relationships/hyperlink" Target="https://my.zakupki.prom.ua/remote/dispatcher/state_purchase_view/24383768" TargetMode="External"/>
  <ns0:Relationship Id="rId1201" Type="http://schemas.openxmlformats.org/officeDocument/2006/relationships/hyperlink" Target="https://my.zakupki.prom.ua/remote/dispatcher/state_contracting_view/7843193" TargetMode="External"/>
  <ns0:Relationship Id="rId1202" Type="http://schemas.openxmlformats.org/officeDocument/2006/relationships/hyperlink" Target="https://my.zakupki.prom.ua/remote/dispatcher/state_purchase_view/25905059" TargetMode="External"/>
  <ns0:Relationship Id="rId1203" Type="http://schemas.openxmlformats.org/officeDocument/2006/relationships/hyperlink" Target="https://my.zakupki.prom.ua/remote/dispatcher/state_contracting_view/8568215" TargetMode="External"/>
  <ns0:Relationship Id="rId1204" Type="http://schemas.openxmlformats.org/officeDocument/2006/relationships/hyperlink" Target="https://my.zakupki.prom.ua/remote/dispatcher/state_purchase_view/25535276" TargetMode="External"/>
  <ns0:Relationship Id="rId1205" Type="http://schemas.openxmlformats.org/officeDocument/2006/relationships/hyperlink" Target="https://my.zakupki.prom.ua/remote/dispatcher/state_contracting_view/8391733" TargetMode="External"/>
  <ns0:Relationship Id="rId1206" Type="http://schemas.openxmlformats.org/officeDocument/2006/relationships/hyperlink" Target="https://my.zakupki.prom.ua/remote/dispatcher/state_purchase_view/24917217" TargetMode="External"/>
  <ns0:Relationship Id="rId1207" Type="http://schemas.openxmlformats.org/officeDocument/2006/relationships/hyperlink" Target="https://my.zakupki.prom.ua/remote/dispatcher/state_contracting_view/8113457" TargetMode="External"/>
  <ns0:Relationship Id="rId1208" Type="http://schemas.openxmlformats.org/officeDocument/2006/relationships/hyperlink" Target="https://my.zakupki.prom.ua/remote/dispatcher/state_purchase_view/24852850" TargetMode="External"/>
  <ns0:Relationship Id="rId1209" Type="http://schemas.openxmlformats.org/officeDocument/2006/relationships/hyperlink" Target="https://my.zakupki.prom.ua/remote/dispatcher/state_contracting_view/8066064" TargetMode="External"/>
  <ns0:Relationship Id="rId1210" Type="http://schemas.openxmlformats.org/officeDocument/2006/relationships/hyperlink" Target="https://my.zakupki.prom.ua/remote/dispatcher/state_purchase_view/24377712" TargetMode="External"/>
  <ns0:Relationship Id="rId1211" Type="http://schemas.openxmlformats.org/officeDocument/2006/relationships/hyperlink" Target="https://my.zakupki.prom.ua/remote/dispatcher/state_contracting_view/7839864" TargetMode="External"/>
  <ns0:Relationship Id="rId1212" Type="http://schemas.openxmlformats.org/officeDocument/2006/relationships/hyperlink" Target="https://my.zakupki.prom.ua/remote/dispatcher/state_purchase_view/33547257" TargetMode="External"/>
  <ns0:Relationship Id="rId1213" Type="http://schemas.openxmlformats.org/officeDocument/2006/relationships/hyperlink" Target="https://my.zakupki.prom.ua/remote/dispatcher/state_contracting_view/12150468" TargetMode="External"/>
  <ns0:Relationship Id="rId1214" Type="http://schemas.openxmlformats.org/officeDocument/2006/relationships/hyperlink" Target="https://my.zakupki.prom.ua/remote/dispatcher/state_purchase_view/31625920" TargetMode="External"/>
  <ns0:Relationship Id="rId1215" Type="http://schemas.openxmlformats.org/officeDocument/2006/relationships/hyperlink" Target="https://my.zakupki.prom.ua/remote/dispatcher/state_contracting_view/11249975" TargetMode="External"/>
  <ns0:Relationship Id="rId1216" Type="http://schemas.openxmlformats.org/officeDocument/2006/relationships/hyperlink" Target="https://my.zakupki.prom.ua/remote/dispatcher/state_purchase_view/23806589" TargetMode="External"/>
  <ns0:Relationship Id="rId1217" Type="http://schemas.openxmlformats.org/officeDocument/2006/relationships/hyperlink" Target="https://my.zakupki.prom.ua/remote/dispatcher/state_contracting_view/7574476" TargetMode="External"/>
  <ns0:Relationship Id="rId1218" Type="http://schemas.openxmlformats.org/officeDocument/2006/relationships/hyperlink" Target="https://my.zakupki.prom.ua/remote/dispatcher/state_purchase_view/25131177" TargetMode="External"/>
  <ns0:Relationship Id="rId1219" Type="http://schemas.openxmlformats.org/officeDocument/2006/relationships/hyperlink" Target="https://my.zakupki.prom.ua/remote/dispatcher/state_contracting_view/8203509" TargetMode="External"/>
  <ns0:Relationship Id="rId1220" Type="http://schemas.openxmlformats.org/officeDocument/2006/relationships/hyperlink" Target="https://my.zakupki.prom.ua/remote/dispatcher/state_purchase_view/25009314" TargetMode="External"/>
  <ns0:Relationship Id="rId1221" Type="http://schemas.openxmlformats.org/officeDocument/2006/relationships/hyperlink" Target="https://my.zakupki.prom.ua/remote/dispatcher/state_contracting_view/8141738" TargetMode="External"/>
  <ns0:Relationship Id="rId1222" Type="http://schemas.openxmlformats.org/officeDocument/2006/relationships/hyperlink" Target="https://my.zakupki.prom.ua/remote/dispatcher/state_purchase_view/24856071" TargetMode="External"/>
  <ns0:Relationship Id="rId1223" Type="http://schemas.openxmlformats.org/officeDocument/2006/relationships/hyperlink" Target="https://my.zakupki.prom.ua/remote/dispatcher/state_contracting_view/8067350" TargetMode="External"/>
  <ns0:Relationship Id="rId1224" Type="http://schemas.openxmlformats.org/officeDocument/2006/relationships/hyperlink" Target="https://my.zakupki.prom.ua/remote/dispatcher/state_purchase_view/26236479" TargetMode="External"/>
  <ns0:Relationship Id="rId1225" Type="http://schemas.openxmlformats.org/officeDocument/2006/relationships/hyperlink" Target="https://my.zakupki.prom.ua/remote/dispatcher/state_contracting_view/8733925" TargetMode="External"/>
  <ns0:Relationship Id="rId1226" Type="http://schemas.openxmlformats.org/officeDocument/2006/relationships/hyperlink" Target="https://my.zakupki.prom.ua/remote/dispatcher/state_purchase_view/26235411" TargetMode="External"/>
  <ns0:Relationship Id="rId1227" Type="http://schemas.openxmlformats.org/officeDocument/2006/relationships/hyperlink" Target="https://my.zakupki.prom.ua/remote/dispatcher/state_contracting_view/8734299" TargetMode="External"/>
  <ns0:Relationship Id="rId1228" Type="http://schemas.openxmlformats.org/officeDocument/2006/relationships/hyperlink" Target="https://my.zakupki.prom.ua/remote/dispatcher/state_purchase_view/26047996" TargetMode="External"/>
  <ns0:Relationship Id="rId1229" Type="http://schemas.openxmlformats.org/officeDocument/2006/relationships/hyperlink" Target="https://my.zakupki.prom.ua/remote/dispatcher/state_contracting_view/8636232" TargetMode="External"/>
  <ns0:Relationship Id="rId1230" Type="http://schemas.openxmlformats.org/officeDocument/2006/relationships/hyperlink" Target="https://my.zakupki.prom.ua/remote/dispatcher/state_purchase_view/24866793" TargetMode="External"/>
  <ns0:Relationship Id="rId1231" Type="http://schemas.openxmlformats.org/officeDocument/2006/relationships/hyperlink" Target="https://my.zakupki.prom.ua/remote/dispatcher/state_contracting_view/8072677" TargetMode="External"/>
  <ns0:Relationship Id="rId1232" Type="http://schemas.openxmlformats.org/officeDocument/2006/relationships/hyperlink" Target="https://my.zakupki.prom.ua/remote/dispatcher/state_purchase_view/25081723" TargetMode="External"/>
  <ns0:Relationship Id="rId1233" Type="http://schemas.openxmlformats.org/officeDocument/2006/relationships/hyperlink" Target="https://my.zakupki.prom.ua/remote/dispatcher/state_contracting_view/8181220" TargetMode="External"/>
  <ns0:Relationship Id="rId1234" Type="http://schemas.openxmlformats.org/officeDocument/2006/relationships/hyperlink" Target="https://my.zakupki.prom.ua/remote/dispatcher/state_purchase_view/25072026" TargetMode="External"/>
  <ns0:Relationship Id="rId1235" Type="http://schemas.openxmlformats.org/officeDocument/2006/relationships/hyperlink" Target="https://my.zakupki.prom.ua/remote/dispatcher/state_contracting_view/8180526" TargetMode="External"/>
  <ns0:Relationship Id="rId1236" Type="http://schemas.openxmlformats.org/officeDocument/2006/relationships/hyperlink" Target="https://my.zakupki.prom.ua/remote/dispatcher/state_purchase_view/25010418" TargetMode="External"/>
  <ns0:Relationship Id="rId1237" Type="http://schemas.openxmlformats.org/officeDocument/2006/relationships/hyperlink" Target="https://my.zakupki.prom.ua/remote/dispatcher/state_contracting_view/8143019" TargetMode="External"/>
  <ns0:Relationship Id="rId1238" Type="http://schemas.openxmlformats.org/officeDocument/2006/relationships/hyperlink" Target="https://my.zakupki.prom.ua/remote/dispatcher/state_purchase_view/25664421" TargetMode="External"/>
  <ns0:Relationship Id="rId1239" Type="http://schemas.openxmlformats.org/officeDocument/2006/relationships/hyperlink" Target="https://my.zakupki.prom.ua/remote/dispatcher/state_contracting_view/8453986" TargetMode="External"/>
  <ns0:Relationship Id="rId1240" Type="http://schemas.openxmlformats.org/officeDocument/2006/relationships/hyperlink" Target="https://my.zakupki.prom.ua/remote/dispatcher/state_purchase_view/25662646" TargetMode="External"/>
  <ns0:Relationship Id="rId1241" Type="http://schemas.openxmlformats.org/officeDocument/2006/relationships/hyperlink" Target="https://my.zakupki.prom.ua/remote/dispatcher/state_contracting_view/8453226" TargetMode="External"/>
  <ns0:Relationship Id="rId1242" Type="http://schemas.openxmlformats.org/officeDocument/2006/relationships/hyperlink" Target="https://my.zakupki.prom.ua/remote/dispatcher/state_purchase_view/25729812" TargetMode="External"/>
  <ns0:Relationship Id="rId1243" Type="http://schemas.openxmlformats.org/officeDocument/2006/relationships/hyperlink" Target="https://my.zakupki.prom.ua/remote/dispatcher/state_contracting_view/8488465" TargetMode="External"/>
  <ns0:Relationship Id="rId1244" Type="http://schemas.openxmlformats.org/officeDocument/2006/relationships/hyperlink" Target="https://my.zakupki.prom.ua/remote/dispatcher/state_purchase_view/23058160" TargetMode="External"/>
  <ns0:Relationship Id="rId1245" Type="http://schemas.openxmlformats.org/officeDocument/2006/relationships/hyperlink" Target="https://my.zakupki.prom.ua/remote/dispatcher/state_contracting_view/7256901" TargetMode="External"/>
  <ns0:Relationship Id="rId1246" Type="http://schemas.openxmlformats.org/officeDocument/2006/relationships/hyperlink" Target="https://my.zakupki.prom.ua/remote/dispatcher/state_purchase_view/32040510" TargetMode="External"/>
  <ns0:Relationship Id="rId1247" Type="http://schemas.openxmlformats.org/officeDocument/2006/relationships/hyperlink" Target="https://my.zakupki.prom.ua/remote/dispatcher/state_contracting_view/11440329" TargetMode="External"/>
  <ns0:Relationship Id="rId1248" Type="http://schemas.openxmlformats.org/officeDocument/2006/relationships/hyperlink" Target="https://my.zakupki.prom.ua/remote/dispatcher/state_purchase_view/23467617" TargetMode="External"/>
  <ns0:Relationship Id="rId1249" Type="http://schemas.openxmlformats.org/officeDocument/2006/relationships/hyperlink" Target="https://my.zakupki.prom.ua/remote/dispatcher/state_contracting_view/7424696" TargetMode="External"/>
  <ns0:Relationship Id="rId1250" Type="http://schemas.openxmlformats.org/officeDocument/2006/relationships/hyperlink" Target="https://my.zakupki.prom.ua/remote/dispatcher/state_purchase_view/24041725" TargetMode="External"/>
  <ns0:Relationship Id="rId1251" Type="http://schemas.openxmlformats.org/officeDocument/2006/relationships/hyperlink" Target="https://my.zakupki.prom.ua/remote/dispatcher/state_contracting_view/7685171" TargetMode="External"/>
  <ns0:Relationship Id="rId1252" Type="http://schemas.openxmlformats.org/officeDocument/2006/relationships/hyperlink" Target="https://my.zakupki.prom.ua/remote/dispatcher/state_purchase_view/25628938" TargetMode="External"/>
  <ns0:Relationship Id="rId1253" Type="http://schemas.openxmlformats.org/officeDocument/2006/relationships/hyperlink" Target="https://my.zakupki.prom.ua/remote/dispatcher/state_contracting_view/8442446" TargetMode="External"/>
  <ns0:Relationship Id="rId1254" Type="http://schemas.openxmlformats.org/officeDocument/2006/relationships/hyperlink" Target="https://my.zakupki.prom.ua/remote/dispatcher/state_purchase_view/29429326" TargetMode="External"/>
  <ns0:Relationship Id="rId1255" Type="http://schemas.openxmlformats.org/officeDocument/2006/relationships/hyperlink" Target="https://my.zakupki.prom.ua/remote/dispatcher/state_contracting_view/10236499" TargetMode="External"/>
  <ns0:Relationship Id="rId1256" Type="http://schemas.openxmlformats.org/officeDocument/2006/relationships/hyperlink" Target="https://my.zakupki.prom.ua/remote/dispatcher/state_purchase_view/30288184" TargetMode="External"/>
  <ns0:Relationship Id="rId1257" Type="http://schemas.openxmlformats.org/officeDocument/2006/relationships/hyperlink" Target="https://my.zakupki.prom.ua/remote/dispatcher/state_contracting_view/10633327" TargetMode="External"/>
  <ns0:Relationship Id="rId1258" Type="http://schemas.openxmlformats.org/officeDocument/2006/relationships/hyperlink" Target="https://my.zakupki.prom.ua/remote/dispatcher/state_purchase_view/30287042" TargetMode="External"/>
  <ns0:Relationship Id="rId1259" Type="http://schemas.openxmlformats.org/officeDocument/2006/relationships/hyperlink" Target="https://my.zakupki.prom.ua/remote/dispatcher/state_contracting_view/10633030" TargetMode="External"/>
  <ns0:Relationship Id="rId1260" Type="http://schemas.openxmlformats.org/officeDocument/2006/relationships/hyperlink" Target="https://my.zakupki.prom.ua/remote/dispatcher/state_purchase_view/25174100" TargetMode="External"/>
  <ns0:Relationship Id="rId1261" Type="http://schemas.openxmlformats.org/officeDocument/2006/relationships/hyperlink" Target="https://my.zakupki.prom.ua/remote/dispatcher/state_contracting_view/8225672" TargetMode="External"/>
  <ns0:Relationship Id="rId1262" Type="http://schemas.openxmlformats.org/officeDocument/2006/relationships/hyperlink" Target="https://my.zakupki.prom.ua/remote/dispatcher/state_purchase_view/23534620" TargetMode="External"/>
  <ns0:Relationship Id="rId1263" Type="http://schemas.openxmlformats.org/officeDocument/2006/relationships/hyperlink" Target="https://my.zakupki.prom.ua/remote/dispatcher/state_contracting_view/7454596" TargetMode="External"/>
  <ns0:Relationship Id="rId1264" Type="http://schemas.openxmlformats.org/officeDocument/2006/relationships/hyperlink" Target="https://my.zakupki.prom.ua/remote/dispatcher/state_purchase_view/32667342" TargetMode="External"/>
  <ns0:Relationship Id="rId1265" Type="http://schemas.openxmlformats.org/officeDocument/2006/relationships/hyperlink" Target="https://my.zakupki.prom.ua/remote/dispatcher/state_contracting_view/11727665" TargetMode="External"/>
  <ns0:Relationship Id="rId1266" Type="http://schemas.openxmlformats.org/officeDocument/2006/relationships/hyperlink" Target="https://my.zakupki.prom.ua/remote/dispatcher/state_purchase_view/22935054" TargetMode="External"/>
  <ns0:Relationship Id="rId1267" Type="http://schemas.openxmlformats.org/officeDocument/2006/relationships/hyperlink" Target="https://my.zakupki.prom.ua/remote/dispatcher/state_contracting_view/7214859" TargetMode="External"/>
  <ns0:Relationship Id="rId1268" Type="http://schemas.openxmlformats.org/officeDocument/2006/relationships/hyperlink" Target="https://my.zakupki.prom.ua/remote/dispatcher/state_purchase_view/22931100" TargetMode="External"/>
  <ns0:Relationship Id="rId1269" Type="http://schemas.openxmlformats.org/officeDocument/2006/relationships/hyperlink" Target="https://my.zakupki.prom.ua/remote/dispatcher/state_contracting_view/7213665" TargetMode="External"/>
  <ns0:Relationship Id="rId1270" Type="http://schemas.openxmlformats.org/officeDocument/2006/relationships/hyperlink" Target="https://my.zakupki.prom.ua/remote/dispatcher/state_purchase_view/22928073" TargetMode="External"/>
  <ns0:Relationship Id="rId1271" Type="http://schemas.openxmlformats.org/officeDocument/2006/relationships/hyperlink" Target="https://my.zakupki.prom.ua/remote/dispatcher/state_contracting_view/7212551" TargetMode="External"/>
  <ns0:Relationship Id="rId1272" Type="http://schemas.openxmlformats.org/officeDocument/2006/relationships/hyperlink" Target="https://my.zakupki.prom.ua/remote/dispatcher/state_purchase_view/23848426" TargetMode="External"/>
  <ns0:Relationship Id="rId1273" Type="http://schemas.openxmlformats.org/officeDocument/2006/relationships/hyperlink" Target="https://my.zakupki.prom.ua/remote/dispatcher/state_contracting_view/7604744" TargetMode="External"/>
  <ns0:Relationship Id="rId1274" Type="http://schemas.openxmlformats.org/officeDocument/2006/relationships/hyperlink" Target="https://my.zakupki.prom.ua/remote/dispatcher/state_purchase_view/23769850" TargetMode="External"/>
  <ns0:Relationship Id="rId1275" Type="http://schemas.openxmlformats.org/officeDocument/2006/relationships/hyperlink" Target="https://my.zakupki.prom.ua/remote/dispatcher/state_contracting_view/7557510" TargetMode="External"/>
  <ns0:Relationship Id="rId1276" Type="http://schemas.openxmlformats.org/officeDocument/2006/relationships/hyperlink" Target="https://my.zakupki.prom.ua/remote/dispatcher/state_purchase_view/24285996" TargetMode="External"/>
  <ns0:Relationship Id="rId1277" Type="http://schemas.openxmlformats.org/officeDocument/2006/relationships/hyperlink" Target="https://my.zakupki.prom.ua/remote/dispatcher/state_contracting_view/7796697" TargetMode="External"/>
  <ns0:Relationship Id="rId1278" Type="http://schemas.openxmlformats.org/officeDocument/2006/relationships/hyperlink" Target="https://my.zakupki.prom.ua/remote/dispatcher/state_purchase_view/24102865" TargetMode="External"/>
  <ns0:Relationship Id="rId1279" Type="http://schemas.openxmlformats.org/officeDocument/2006/relationships/hyperlink" Target="https://my.zakupki.prom.ua/remote/dispatcher/state_contracting_view/7718672" TargetMode="External"/>
  <ns0:Relationship Id="rId1280" Type="http://schemas.openxmlformats.org/officeDocument/2006/relationships/hyperlink" Target="https://my.zakupki.prom.ua/remote/dispatcher/state_purchase_view/29314396" TargetMode="External"/>
  <ns0:Relationship Id="rId1281" Type="http://schemas.openxmlformats.org/officeDocument/2006/relationships/hyperlink" Target="https://my.zakupki.prom.ua/remote/dispatcher/state_contracting_view/10183641" TargetMode="External"/>
  <ns0:Relationship Id="rId1282" Type="http://schemas.openxmlformats.org/officeDocument/2006/relationships/hyperlink" Target="https://my.zakupki.prom.ua/remote/dispatcher/state_purchase_view/30751114" TargetMode="External"/>
  <ns0:Relationship Id="rId1283" Type="http://schemas.openxmlformats.org/officeDocument/2006/relationships/hyperlink" Target="https://my.zakupki.prom.ua/remote/dispatcher/state_contracting_view/10858489" TargetMode="External"/>
  <ns0:Relationship Id="rId1284" Type="http://schemas.openxmlformats.org/officeDocument/2006/relationships/hyperlink" Target="https://my.zakupki.prom.ua/remote/dispatcher/state_purchase_view/32215716" TargetMode="External"/>
  <ns0:Relationship Id="rId1285" Type="http://schemas.openxmlformats.org/officeDocument/2006/relationships/hyperlink" Target="https://my.zakupki.prom.ua/remote/dispatcher/state_contracting_view/11519862" TargetMode="External"/>
  <ns0:Relationship Id="rId1286" Type="http://schemas.openxmlformats.org/officeDocument/2006/relationships/hyperlink" Target="https://my.zakupki.prom.ua/remote/dispatcher/state_purchase_view/28256686" TargetMode="External"/>
  <ns0:Relationship Id="rId1287" Type="http://schemas.openxmlformats.org/officeDocument/2006/relationships/hyperlink" Target="https://my.zakupki.prom.ua/remote/dispatcher/state_contracting_view/9687823" TargetMode="External"/>
  <ns0:Relationship Id="rId1288" Type="http://schemas.openxmlformats.org/officeDocument/2006/relationships/hyperlink" Target="https://my.zakupki.prom.ua/remote/dispatcher/state_purchase_view/25518971" TargetMode="External"/>
  <ns0:Relationship Id="rId1289" Type="http://schemas.openxmlformats.org/officeDocument/2006/relationships/hyperlink" Target="https://my.zakupki.prom.ua/remote/dispatcher/state_contracting_view/8384929" TargetMode="External"/>
  <ns0:Relationship Id="rId1290" Type="http://schemas.openxmlformats.org/officeDocument/2006/relationships/hyperlink" Target="https://my.zakupki.prom.ua/remote/dispatcher/state_purchase_view/24751765" TargetMode="External"/>
  <ns0:Relationship Id="rId1291" Type="http://schemas.openxmlformats.org/officeDocument/2006/relationships/hyperlink" Target="https://my.zakupki.prom.ua/remote/dispatcher/state_contracting_view/8021710" TargetMode="External"/>
  <ns0:Relationship Id="rId1292" Type="http://schemas.openxmlformats.org/officeDocument/2006/relationships/hyperlink" Target="https://my.zakupki.prom.ua/remote/dispatcher/state_purchase_view/25588989" TargetMode="External"/>
  <ns0:Relationship Id="rId1293" Type="http://schemas.openxmlformats.org/officeDocument/2006/relationships/hyperlink" Target="https://my.zakupki.prom.ua/remote/dispatcher/state_contracting_view/8419225" TargetMode="External"/>
  <ns0:Relationship Id="rId1294" Type="http://schemas.openxmlformats.org/officeDocument/2006/relationships/hyperlink" Target="https://my.zakupki.prom.ua/remote/dispatcher/state_purchase_view/25664041" TargetMode="External"/>
  <ns0:Relationship Id="rId1295" Type="http://schemas.openxmlformats.org/officeDocument/2006/relationships/hyperlink" Target="https://my.zakupki.prom.ua/remote/dispatcher/state_contracting_view/8454061" TargetMode="External"/>
  <ns0:Relationship Id="rId1296" Type="http://schemas.openxmlformats.org/officeDocument/2006/relationships/hyperlink" Target="https://my.zakupki.prom.ua/remote/dispatcher/state_purchase_view/29322000" TargetMode="External"/>
  <ns0:Relationship Id="rId1297" Type="http://schemas.openxmlformats.org/officeDocument/2006/relationships/hyperlink" Target="https://my.zakupki.prom.ua/remote/dispatcher/state_contracting_view/10186860" TargetMode="External"/>
  <ns0:Relationship Id="rId1298" Type="http://schemas.openxmlformats.org/officeDocument/2006/relationships/hyperlink" Target="https://my.zakupki.prom.ua/remote/dispatcher/state_purchase_view/27774983" TargetMode="External"/>
  <ns0:Relationship Id="rId1299" Type="http://schemas.openxmlformats.org/officeDocument/2006/relationships/hyperlink" Target="https://my.zakupki.prom.ua/remote/dispatcher/state_contracting_view/9465353" TargetMode="External"/>
  <ns0:Relationship Id="rId1300" Type="http://schemas.openxmlformats.org/officeDocument/2006/relationships/hyperlink" Target="https://my.zakupki.prom.ua/remote/dispatcher/state_purchase_view/27772900" TargetMode="External"/>
  <ns0:Relationship Id="rId1301" Type="http://schemas.openxmlformats.org/officeDocument/2006/relationships/hyperlink" Target="https://my.zakupki.prom.ua/remote/dispatcher/state_contracting_view/9465596" TargetMode="External"/>
  <ns0:Relationship Id="rId1302" Type="http://schemas.openxmlformats.org/officeDocument/2006/relationships/hyperlink" Target="https://my.zakupki.prom.ua/remote/dispatcher/state_purchase_view/27353306" TargetMode="External"/>
  <ns0:Relationship Id="rId1303" Type="http://schemas.openxmlformats.org/officeDocument/2006/relationships/hyperlink" Target="https://my.zakupki.prom.ua/remote/dispatcher/state_contracting_view/9258922" TargetMode="External"/>
  <ns0:Relationship Id="rId1304" Type="http://schemas.openxmlformats.org/officeDocument/2006/relationships/hyperlink" Target="https://my.zakupki.prom.ua/remote/dispatcher/state_purchase_view/29905264" TargetMode="External"/>
  <ns0:Relationship Id="rId1305" Type="http://schemas.openxmlformats.org/officeDocument/2006/relationships/hyperlink" Target="https://my.zakupki.prom.ua/remote/dispatcher/state_contracting_view/10456324" TargetMode="External"/>
  <ns0:Relationship Id="rId1306" Type="http://schemas.openxmlformats.org/officeDocument/2006/relationships/hyperlink" Target="https://my.zakupki.prom.ua/remote/dispatcher/state_purchase_view/29481899" TargetMode="External"/>
  <ns0:Relationship Id="rId1307" Type="http://schemas.openxmlformats.org/officeDocument/2006/relationships/hyperlink" Target="https://my.zakupki.prom.ua/remote/dispatcher/state_contracting_view/10263223" TargetMode="External"/>
  <ns0:Relationship Id="rId1308" Type="http://schemas.openxmlformats.org/officeDocument/2006/relationships/hyperlink" Target="https://my.zakupki.prom.ua/remote/dispatcher/state_purchase_view/29777553" TargetMode="External"/>
  <ns0:Relationship Id="rId1309" Type="http://schemas.openxmlformats.org/officeDocument/2006/relationships/hyperlink" Target="https://my.zakupki.prom.ua/remote/dispatcher/state_contracting_view/10398070" TargetMode="External"/>
  <ns0:Relationship Id="rId1310" Type="http://schemas.openxmlformats.org/officeDocument/2006/relationships/hyperlink" Target="https://my.zakupki.prom.ua/remote/dispatcher/state_purchase_view/30150960" TargetMode="External"/>
  <ns0:Relationship Id="rId1311" Type="http://schemas.openxmlformats.org/officeDocument/2006/relationships/hyperlink" Target="https://my.zakupki.prom.ua/remote/dispatcher/state_contracting_view/10569623" TargetMode="External"/>
  <ns0:Relationship Id="rId1312" Type="http://schemas.openxmlformats.org/officeDocument/2006/relationships/hyperlink" Target="https://my.zakupki.prom.ua/remote/dispatcher/state_purchase_view/29435357" TargetMode="External"/>
  <ns0:Relationship Id="rId1313" Type="http://schemas.openxmlformats.org/officeDocument/2006/relationships/hyperlink" Target="https://my.zakupki.prom.ua/remote/dispatcher/state_contracting_view/10239333" TargetMode="External"/>
  <ns0:Relationship Id="rId1314" Type="http://schemas.openxmlformats.org/officeDocument/2006/relationships/hyperlink" Target="https://my.zakupki.prom.ua/remote/dispatcher/state_purchase_view/25731676" TargetMode="External"/>
  <ns0:Relationship Id="rId1315" Type="http://schemas.openxmlformats.org/officeDocument/2006/relationships/hyperlink" Target="https://my.zakupki.prom.ua/remote/dispatcher/state_contracting_view/8488798" TargetMode="External"/>
  <ns0:Relationship Id="rId1316" Type="http://schemas.openxmlformats.org/officeDocument/2006/relationships/hyperlink" Target="https://my.zakupki.prom.ua/remote/dispatcher/state_purchase_view/24260225" TargetMode="External"/>
  <ns0:Relationship Id="rId1317" Type="http://schemas.openxmlformats.org/officeDocument/2006/relationships/hyperlink" Target="https://my.zakupki.prom.ua/remote/dispatcher/state_contracting_view/7787772" TargetMode="External"/>
  <ns0:Relationship Id="rId1318" Type="http://schemas.openxmlformats.org/officeDocument/2006/relationships/hyperlink" Target="https://my.zakupki.prom.ua/remote/dispatcher/state_purchase_view/26257815" TargetMode="External"/>
  <ns0:Relationship Id="rId1319" Type="http://schemas.openxmlformats.org/officeDocument/2006/relationships/hyperlink" Target="https://my.zakupki.prom.ua/remote/dispatcher/state_contracting_view/8739127" TargetMode="External"/>
  <ns0:Relationship Id="rId1320" Type="http://schemas.openxmlformats.org/officeDocument/2006/relationships/hyperlink" Target="https://my.zakupki.prom.ua/remote/dispatcher/state_purchase_view/26260227" TargetMode="External"/>
  <ns0:Relationship Id="rId1321" Type="http://schemas.openxmlformats.org/officeDocument/2006/relationships/hyperlink" Target="https://my.zakupki.prom.ua/remote/dispatcher/state_contracting_view/8739313" TargetMode="External"/>
  <ns0:Relationship Id="rId1322" Type="http://schemas.openxmlformats.org/officeDocument/2006/relationships/hyperlink" Target="https://my.zakupki.prom.ua/remote/dispatcher/state_purchase_view/25517405" TargetMode="External"/>
  <ns0:Relationship Id="rId1323" Type="http://schemas.openxmlformats.org/officeDocument/2006/relationships/hyperlink" Target="https://my.zakupki.prom.ua/remote/dispatcher/state_contracting_view/8383349" TargetMode="External"/>
  <ns0:Relationship Id="rId1324" Type="http://schemas.openxmlformats.org/officeDocument/2006/relationships/hyperlink" Target="https://my.zakupki.prom.ua/remote/dispatcher/state_purchase_view/25628474" TargetMode="External"/>
  <ns0:Relationship Id="rId1325" Type="http://schemas.openxmlformats.org/officeDocument/2006/relationships/hyperlink" Target="https://my.zakupki.prom.ua/remote/dispatcher/state_contracting_view/8442561" TargetMode="External"/>
  <ns0:Relationship Id="rId1326" Type="http://schemas.openxmlformats.org/officeDocument/2006/relationships/hyperlink" Target="https://my.zakupki.prom.ua/remote/dispatcher/state_purchase_view/30761769" TargetMode="External"/>
  <ns0:Relationship Id="rId1327" Type="http://schemas.openxmlformats.org/officeDocument/2006/relationships/hyperlink" Target="https://my.zakupki.prom.ua/remote/dispatcher/state_contracting_view/10850781" TargetMode="External"/>
  <ns0:Relationship Id="rId1328" Type="http://schemas.openxmlformats.org/officeDocument/2006/relationships/hyperlink" Target="https://my.zakupki.prom.ua/remote/dispatcher/state_purchase_view/25553459" TargetMode="External"/>
  <ns0:Relationship Id="rId1329" Type="http://schemas.openxmlformats.org/officeDocument/2006/relationships/hyperlink" Target="https://my.zakupki.prom.ua/remote/dispatcher/state_contracting_view/8401060" TargetMode="External"/>
  <ns0:Relationship Id="rId1330" Type="http://schemas.openxmlformats.org/officeDocument/2006/relationships/hyperlink" Target="https://my.zakupki.prom.ua/remote/dispatcher/state_purchase_view/24349660" TargetMode="External"/>
  <ns0:Relationship Id="rId1331" Type="http://schemas.openxmlformats.org/officeDocument/2006/relationships/hyperlink" Target="https://my.zakupki.prom.ua/remote/dispatcher/state_contracting_view/7826360" TargetMode="External"/>
  <ns0:Relationship Id="rId1332" Type="http://schemas.openxmlformats.org/officeDocument/2006/relationships/hyperlink" Target="https://my.zakupki.prom.ua/remote/dispatcher/state_purchase_view/24257606" TargetMode="External"/>
  <ns0:Relationship Id="rId1333" Type="http://schemas.openxmlformats.org/officeDocument/2006/relationships/hyperlink" Target="https://my.zakupki.prom.ua/remote/dispatcher/state_contracting_view/7786874" TargetMode="External"/>
  <ns0:Relationship Id="rId1334" Type="http://schemas.openxmlformats.org/officeDocument/2006/relationships/hyperlink" Target="https://my.zakupki.prom.ua/remote/dispatcher/state_purchase_view/24811700" TargetMode="External"/>
  <ns0:Relationship Id="rId1335" Type="http://schemas.openxmlformats.org/officeDocument/2006/relationships/hyperlink" Target="https://my.zakupki.prom.ua/remote/dispatcher/state_contracting_view/8046476" TargetMode="External"/>
  <ns0:Relationship Id="rId1336" Type="http://schemas.openxmlformats.org/officeDocument/2006/relationships/hyperlink" Target="https://my.zakupki.prom.ua/remote/dispatcher/state_purchase_view/24753745" TargetMode="External"/>
  <ns0:Relationship Id="rId1337" Type="http://schemas.openxmlformats.org/officeDocument/2006/relationships/hyperlink" Target="https://my.zakupki.prom.ua/remote/dispatcher/state_contracting_view/8021968" TargetMode="External"/>
  <ns0:Relationship Id="rId1338" Type="http://schemas.openxmlformats.org/officeDocument/2006/relationships/hyperlink" Target="https://my.zakupki.prom.ua/remote/dispatcher/state_purchase_view/24941759" TargetMode="External"/>
  <ns0:Relationship Id="rId1339" Type="http://schemas.openxmlformats.org/officeDocument/2006/relationships/hyperlink" Target="https://my.zakupki.prom.ua/remote/dispatcher/state_contracting_view/8108971" TargetMode="External"/>
  <ns0:Relationship Id="rId1340" Type="http://schemas.openxmlformats.org/officeDocument/2006/relationships/hyperlink" Target="https://my.zakupki.prom.ua/remote/dispatcher/state_purchase_view/26524010" TargetMode="External"/>
  <ns0:Relationship Id="rId1341" Type="http://schemas.openxmlformats.org/officeDocument/2006/relationships/hyperlink" Target="https://my.zakupki.prom.ua/remote/dispatcher/state_contracting_view/8866059" TargetMode="External"/>
  <ns0:Relationship Id="rId1342" Type="http://schemas.openxmlformats.org/officeDocument/2006/relationships/hyperlink" Target="https://my.zakupki.prom.ua/remote/dispatcher/state_purchase_view/25550385" TargetMode="External"/>
  <ns0:Relationship Id="rId1343" Type="http://schemas.openxmlformats.org/officeDocument/2006/relationships/hyperlink" Target="https://my.zakupki.prom.ua/remote/dispatcher/state_contracting_view/8399474" TargetMode="External"/>
  <ns0:Relationship Id="rId1344" Type="http://schemas.openxmlformats.org/officeDocument/2006/relationships/hyperlink" Target="https://my.zakupki.prom.ua/remote/dispatcher/state_purchase_view/25015170" TargetMode="External"/>
  <ns0:Relationship Id="rId1345" Type="http://schemas.openxmlformats.org/officeDocument/2006/relationships/hyperlink" Target="https://my.zakupki.prom.ua/remote/dispatcher/state_contracting_view/8144590" TargetMode="External"/>
  <ns0:Relationship Id="rId1346" Type="http://schemas.openxmlformats.org/officeDocument/2006/relationships/hyperlink" Target="https://my.zakupki.prom.ua/remote/dispatcher/state_purchase_view/25060696" TargetMode="External"/>
  <ns0:Relationship Id="rId1347" Type="http://schemas.openxmlformats.org/officeDocument/2006/relationships/hyperlink" Target="https://my.zakupki.prom.ua/remote/dispatcher/state_contracting_view/8166039" TargetMode="External"/>
  <ns0:Relationship Id="rId1348" Type="http://schemas.openxmlformats.org/officeDocument/2006/relationships/hyperlink" Target="https://my.zakupki.prom.ua/remote/dispatcher/state_purchase_view/24899522" TargetMode="External"/>
  <ns0:Relationship Id="rId1349" Type="http://schemas.openxmlformats.org/officeDocument/2006/relationships/hyperlink" Target="https://my.zakupki.prom.ua/remote/dispatcher/state_contracting_view/8089569" TargetMode="External"/>
  <ns0:Relationship Id="rId1350" Type="http://schemas.openxmlformats.org/officeDocument/2006/relationships/hyperlink" Target="https://my.zakupki.prom.ua/remote/dispatcher/state_purchase_view/24867334" TargetMode="External"/>
  <ns0:Relationship Id="rId1351" Type="http://schemas.openxmlformats.org/officeDocument/2006/relationships/hyperlink" Target="https://my.zakupki.prom.ua/remote/dispatcher/state_contracting_view/8084445" TargetMode="External"/>
  <ns0:Relationship Id="rId1352" Type="http://schemas.openxmlformats.org/officeDocument/2006/relationships/hyperlink" Target="https://my.zakupki.prom.ua/remote/dispatcher/state_purchase_view/24748247" TargetMode="External"/>
  <ns0:Relationship Id="rId1353" Type="http://schemas.openxmlformats.org/officeDocument/2006/relationships/hyperlink" Target="https://my.zakupki.prom.ua/remote/dispatcher/state_contracting_view/8022367" TargetMode="External"/>
  <ns0:Relationship Id="rId1354" Type="http://schemas.openxmlformats.org/officeDocument/2006/relationships/hyperlink" Target="https://my.zakupki.prom.ua/remote/dispatcher/state_purchase_view/26401039" TargetMode="External"/>
  <ns0:Relationship Id="rId1355" Type="http://schemas.openxmlformats.org/officeDocument/2006/relationships/hyperlink" Target="https://my.zakupki.prom.ua/remote/dispatcher/state_contracting_view/8810193" TargetMode="External"/>
  <ns0:Relationship Id="rId1356" Type="http://schemas.openxmlformats.org/officeDocument/2006/relationships/hyperlink" Target="https://my.zakupki.prom.ua/remote/dispatcher/state_purchase_view/26382129" TargetMode="External"/>
  <ns0:Relationship Id="rId1357" Type="http://schemas.openxmlformats.org/officeDocument/2006/relationships/hyperlink" Target="https://my.zakupki.prom.ua/remote/dispatcher/state_contracting_view/8798672" TargetMode="External"/>
  <ns0:Relationship Id="rId1358" Type="http://schemas.openxmlformats.org/officeDocument/2006/relationships/hyperlink" Target="https://my.zakupki.prom.ua/remote/dispatcher/state_purchase_view/24975637" TargetMode="External"/>
  <ns0:Relationship Id="rId1359" Type="http://schemas.openxmlformats.org/officeDocument/2006/relationships/hyperlink" Target="https://my.zakupki.prom.ua/remote/dispatcher/state_contracting_view/8126419" TargetMode="External"/>
  <ns0:Relationship Id="rId1360" Type="http://schemas.openxmlformats.org/officeDocument/2006/relationships/hyperlink" Target="https://my.zakupki.prom.ua/remote/dispatcher/state_purchase_view/30524876" TargetMode="External"/>
  <ns0:Relationship Id="rId1361" Type="http://schemas.openxmlformats.org/officeDocument/2006/relationships/hyperlink" Target="https://my.zakupki.prom.ua/remote/dispatcher/state_contracting_view/10753497" TargetMode="External"/>
  <ns0:Relationship Id="rId1362" Type="http://schemas.openxmlformats.org/officeDocument/2006/relationships/hyperlink" Target="https://my.zakupki.prom.ua/remote/dispatcher/state_purchase_view/30403610" TargetMode="External"/>
  <ns0:Relationship Id="rId1363" Type="http://schemas.openxmlformats.org/officeDocument/2006/relationships/hyperlink" Target="https://my.zakupki.prom.ua/remote/dispatcher/state_contracting_view/10686297" TargetMode="External"/>
  <ns0:Relationship Id="rId1364" Type="http://schemas.openxmlformats.org/officeDocument/2006/relationships/hyperlink" Target="https://my.zakupki.prom.ua/remote/dispatcher/state_purchase_view/31003676" TargetMode="External"/>
  <ns0:Relationship Id="rId1365" Type="http://schemas.openxmlformats.org/officeDocument/2006/relationships/hyperlink" Target="https://my.zakupki.prom.ua/remote/dispatcher/state_contracting_view/10965589" TargetMode="External"/>
  <ns0:Relationship Id="rId1366" Type="http://schemas.openxmlformats.org/officeDocument/2006/relationships/hyperlink" Target="https://my.zakupki.prom.ua/remote/dispatcher/state_purchase_view/29432128" TargetMode="External"/>
  <ns0:Relationship Id="rId1367" Type="http://schemas.openxmlformats.org/officeDocument/2006/relationships/hyperlink" Target="https://my.zakupki.prom.ua/remote/dispatcher/state_contracting_view/10237995" TargetMode="External"/>
  <ns0:Relationship Id="rId1368" Type="http://schemas.openxmlformats.org/officeDocument/2006/relationships/hyperlink" Target="https://my.zakupki.prom.ua/remote/dispatcher/state_purchase_view/25242737" TargetMode="External"/>
  <ns0:Relationship Id="rId1369" Type="http://schemas.openxmlformats.org/officeDocument/2006/relationships/hyperlink" Target="https://my.zakupki.prom.ua/remote/dispatcher/state_contracting_view/8273901" TargetMode="External"/>
  <ns0:Relationship Id="rId1370" Type="http://schemas.openxmlformats.org/officeDocument/2006/relationships/hyperlink" Target="https://my.zakupki.prom.ua/remote/dispatcher/state_purchase_view/25273987" TargetMode="External"/>
  <ns0:Relationship Id="rId1371" Type="http://schemas.openxmlformats.org/officeDocument/2006/relationships/hyperlink" Target="https://my.zakupki.prom.ua/remote/dispatcher/state_contracting_view/8289352" TargetMode="External"/>
  <ns0:Relationship Id="rId1372" Type="http://schemas.openxmlformats.org/officeDocument/2006/relationships/hyperlink" Target="https://my.zakupki.prom.ua/remote/dispatcher/state_purchase_view/25259984" TargetMode="External"/>
  <ns0:Relationship Id="rId1373" Type="http://schemas.openxmlformats.org/officeDocument/2006/relationships/hyperlink" Target="https://my.zakupki.prom.ua/remote/dispatcher/state_contracting_view/8280445" TargetMode="External"/>
  <ns0:Relationship Id="rId1374" Type="http://schemas.openxmlformats.org/officeDocument/2006/relationships/hyperlink" Target="https://my.zakupki.prom.ua/remote/dispatcher/state_purchase_view/24739294" TargetMode="External"/>
  <ns0:Relationship Id="rId1375" Type="http://schemas.openxmlformats.org/officeDocument/2006/relationships/hyperlink" Target="https://my.zakupki.prom.ua/remote/dispatcher/state_contracting_view/8353559" TargetMode="External"/>
  <ns0:Relationship Id="rId1376" Type="http://schemas.openxmlformats.org/officeDocument/2006/relationships/hyperlink" Target="https://my.zakupki.prom.ua/remote/dispatcher/state_purchase_view/22893309" TargetMode="External"/>
  <ns0:Relationship Id="rId1377" Type="http://schemas.openxmlformats.org/officeDocument/2006/relationships/hyperlink" Target="https://my.zakupki.prom.ua/remote/dispatcher/state_contracting_view/7575350" TargetMode="External"/>
  <ns0:Relationship Id="rId1378" Type="http://schemas.openxmlformats.org/officeDocument/2006/relationships/hyperlink" Target="https://my.zakupki.prom.ua/remote/dispatcher/state_purchase_view/33705897" TargetMode="External"/>
  <ns0:Relationship Id="rId1379" Type="http://schemas.openxmlformats.org/officeDocument/2006/relationships/hyperlink" Target="https://my.zakupki.prom.ua/remote/dispatcher/state_contracting_view/12231807" TargetMode="External"/>
  <ns0:Relationship Id="rId1380" Type="http://schemas.openxmlformats.org/officeDocument/2006/relationships/hyperlink" Target="https://my.zakupki.prom.ua/remote/dispatcher/state_purchase_view/26507048" TargetMode="External"/>
  <ns0:Relationship Id="rId1381" Type="http://schemas.openxmlformats.org/officeDocument/2006/relationships/hyperlink" Target="https://my.zakupki.prom.ua/remote/dispatcher/state_contracting_view/8859207" TargetMode="External"/>
  <ns0:Relationship Id="rId1382" Type="http://schemas.openxmlformats.org/officeDocument/2006/relationships/hyperlink" Target="https://my.zakupki.prom.ua/remote/dispatcher/state_purchase_view/26506072" TargetMode="External"/>
  <ns0:Relationship Id="rId1383" Type="http://schemas.openxmlformats.org/officeDocument/2006/relationships/hyperlink" Target="https://my.zakupki.prom.ua/remote/dispatcher/state_contracting_view/8859486" TargetMode="External"/>
  <ns0:Relationship Id="rId1384" Type="http://schemas.openxmlformats.org/officeDocument/2006/relationships/hyperlink" Target="https://my.zakupki.prom.ua/remote/dispatcher/state_purchase_view/25561177" TargetMode="External"/>
  <ns0:Relationship Id="rId1385" Type="http://schemas.openxmlformats.org/officeDocument/2006/relationships/hyperlink" Target="https://my.zakupki.prom.ua/remote/dispatcher/state_contracting_view/8404470" TargetMode="External"/>
  <ns0:Relationship Id="rId1386" Type="http://schemas.openxmlformats.org/officeDocument/2006/relationships/hyperlink" Target="https://my.zakupki.prom.ua/remote/dispatcher/state_purchase_view/23752256" TargetMode="External"/>
  <ns0:Relationship Id="rId1387" Type="http://schemas.openxmlformats.org/officeDocument/2006/relationships/hyperlink" Target="https://my.zakupki.prom.ua/remote/dispatcher/state_contracting_view/7550183" TargetMode="External"/>
  <ns0:Relationship Id="rId1388" Type="http://schemas.openxmlformats.org/officeDocument/2006/relationships/hyperlink" Target="https://my.zakupki.prom.ua/remote/dispatcher/state_purchase_view/23265759" TargetMode="External"/>
  <ns0:Relationship Id="rId1389" Type="http://schemas.openxmlformats.org/officeDocument/2006/relationships/hyperlink" Target="https://my.zakupki.prom.ua/remote/dispatcher/state_contracting_view/7338063" TargetMode="External"/>
  <ns0:Relationship Id="rId1390" Type="http://schemas.openxmlformats.org/officeDocument/2006/relationships/hyperlink" Target="https://my.zakupki.prom.ua/remote/dispatcher/state_purchase_view/23181681" TargetMode="External"/>
  <ns0:Relationship Id="rId1391" Type="http://schemas.openxmlformats.org/officeDocument/2006/relationships/hyperlink" Target="https://my.zakupki.prom.ua/remote/dispatcher/state_contracting_view/7303940" TargetMode="External"/>
  <ns0:Relationship Id="rId1392" Type="http://schemas.openxmlformats.org/officeDocument/2006/relationships/hyperlink" Target="https://my.zakupki.prom.ua/remote/dispatcher/state_purchase_view/24434326" TargetMode="External"/>
  <ns0:Relationship Id="rId1393" Type="http://schemas.openxmlformats.org/officeDocument/2006/relationships/hyperlink" Target="https://my.zakupki.prom.ua/remote/dispatcher/state_contracting_view/7871101" TargetMode="External"/>
  <ns0:Relationship Id="rId1394" Type="http://schemas.openxmlformats.org/officeDocument/2006/relationships/hyperlink" Target="https://my.zakupki.prom.ua/remote/dispatcher/state_purchase_view/30404603" TargetMode="External"/>
  <ns0:Relationship Id="rId1395" Type="http://schemas.openxmlformats.org/officeDocument/2006/relationships/hyperlink" Target="https://my.zakupki.prom.ua/remote/dispatcher/state_contracting_view/10694202" TargetMode="External"/>
  <ns0:Relationship Id="rId1396" Type="http://schemas.openxmlformats.org/officeDocument/2006/relationships/hyperlink" Target="https://my.zakupki.prom.ua/remote/dispatcher/state_purchase_view/28325452" TargetMode="External"/>
  <ns0:Relationship Id="rId1397" Type="http://schemas.openxmlformats.org/officeDocument/2006/relationships/hyperlink" Target="https://my.zakupki.prom.ua/remote/dispatcher/state_contracting_view/9720087" TargetMode="External"/>
  <ns0:Relationship Id="rId1398" Type="http://schemas.openxmlformats.org/officeDocument/2006/relationships/hyperlink" Target="https://my.zakupki.prom.ua/remote/dispatcher/state_purchase_view/27367059" TargetMode="External"/>
  <ns0:Relationship Id="rId1399" Type="http://schemas.openxmlformats.org/officeDocument/2006/relationships/hyperlink" Target="https://my.zakupki.prom.ua/remote/dispatcher/state_contracting_view/9265283" TargetMode="External"/>
  <ns0:Relationship Id="rId1400" Type="http://schemas.openxmlformats.org/officeDocument/2006/relationships/hyperlink" Target="https://my.zakupki.prom.ua/remote/dispatcher/state_purchase_view/25534595" TargetMode="External"/>
  <ns0:Relationship Id="rId1401" Type="http://schemas.openxmlformats.org/officeDocument/2006/relationships/hyperlink" Target="https://my.zakupki.prom.ua/remote/dispatcher/state_contracting_view/8392080" TargetMode="External"/>
  <ns0:Relationship Id="rId1402" Type="http://schemas.openxmlformats.org/officeDocument/2006/relationships/hyperlink" Target="https://my.zakupki.prom.ua/remote/dispatcher/state_purchase_view/31290931" TargetMode="External"/>
  <ns0:Relationship Id="rId1403" Type="http://schemas.openxmlformats.org/officeDocument/2006/relationships/hyperlink" Target="https://my.zakupki.prom.ua/remote/dispatcher/state_contracting_view/11703047" TargetMode="External"/>
  <ns0:Relationship Id="rId1404" Type="http://schemas.openxmlformats.org/officeDocument/2006/relationships/hyperlink" Target="https://my.zakupki.prom.ua/remote/dispatcher/state_purchase_view/25159944" TargetMode="External"/>
  <ns0:Relationship Id="rId1405" Type="http://schemas.openxmlformats.org/officeDocument/2006/relationships/hyperlink" Target="https://my.zakupki.prom.ua/remote/dispatcher/state_contracting_view/8220481" TargetMode="External"/>
  <ns0:Relationship Id="rId1406" Type="http://schemas.openxmlformats.org/officeDocument/2006/relationships/hyperlink" Target="https://my.zakupki.prom.ua/remote/dispatcher/state_purchase_view/25061815" TargetMode="External"/>
  <ns0:Relationship Id="rId1407" Type="http://schemas.openxmlformats.org/officeDocument/2006/relationships/hyperlink" Target="https://my.zakupki.prom.ua/remote/dispatcher/state_contracting_view/8166331" TargetMode="External"/>
  <ns0:Relationship Id="rId1408" Type="http://schemas.openxmlformats.org/officeDocument/2006/relationships/hyperlink" Target="https://my.zakupki.prom.ua/remote/dispatcher/state_purchase_view/24351605" TargetMode="External"/>
  <ns0:Relationship Id="rId1409" Type="http://schemas.openxmlformats.org/officeDocument/2006/relationships/hyperlink" Target="https://my.zakupki.prom.ua/remote/dispatcher/state_contracting_view/7827456" TargetMode="External"/>
  <ns0:Relationship Id="rId1410" Type="http://schemas.openxmlformats.org/officeDocument/2006/relationships/hyperlink" Target="https://my.zakupki.prom.ua/remote/dispatcher/state_purchase_view/25208369" TargetMode="External"/>
  <ns0:Relationship Id="rId1411" Type="http://schemas.openxmlformats.org/officeDocument/2006/relationships/hyperlink" Target="https://my.zakupki.prom.ua/remote/dispatcher/state_contracting_view/8248701" TargetMode="External"/>
  <ns0:Relationship Id="rId1412" Type="http://schemas.openxmlformats.org/officeDocument/2006/relationships/hyperlink" Target="https://my.zakupki.prom.ua/remote/dispatcher/state_purchase_view/23042326" TargetMode="External"/>
  <ns0:Relationship Id="rId1413" Type="http://schemas.openxmlformats.org/officeDocument/2006/relationships/hyperlink" Target="https://my.zakupki.prom.ua/remote/dispatcher/state_contracting_view/7251467" TargetMode="External"/>
  <ns0:Relationship Id="rId1414" Type="http://schemas.openxmlformats.org/officeDocument/2006/relationships/hyperlink" Target="https://my.zakupki.prom.ua/remote/dispatcher/state_purchase_view/24916319" TargetMode="External"/>
  <ns0:Relationship Id="rId1415" Type="http://schemas.openxmlformats.org/officeDocument/2006/relationships/hyperlink" Target="https://my.zakupki.prom.ua/remote/dispatcher/state_contracting_view/8096894" TargetMode="External"/>
  <ns0:Relationship Id="rId1416" Type="http://schemas.openxmlformats.org/officeDocument/2006/relationships/hyperlink" Target="https://my.zakupki.prom.ua/remote/dispatcher/state_purchase_view/24868362" TargetMode="External"/>
  <ns0:Relationship Id="rId1417" Type="http://schemas.openxmlformats.org/officeDocument/2006/relationships/hyperlink" Target="https://my.zakupki.prom.ua/remote/dispatcher/state_contracting_view/8085146" TargetMode="External"/>
  <ns0:Relationship Id="rId1418" Type="http://schemas.openxmlformats.org/officeDocument/2006/relationships/hyperlink" Target="https://my.zakupki.prom.ua/remote/dispatcher/state_purchase_view/31511474" TargetMode="External"/>
  <ns0:Relationship Id="rId1419" Type="http://schemas.openxmlformats.org/officeDocument/2006/relationships/hyperlink" Target="https://my.zakupki.prom.ua/remote/dispatcher/state_contracting_view/11195515" TargetMode="External"/>
  <ns0:Relationship Id="rId1420" Type="http://schemas.openxmlformats.org/officeDocument/2006/relationships/hyperlink" Target="https://my.zakupki.prom.ua/remote/dispatcher/state_purchase_view/30436247" TargetMode="External"/>
  <ns0:Relationship Id="rId1421" Type="http://schemas.openxmlformats.org/officeDocument/2006/relationships/hyperlink" Target="https://my.zakupki.prom.ua/remote/dispatcher/state_contracting_view/10701428" TargetMode="External"/>
  <ns0:Relationship Id="rId1422" Type="http://schemas.openxmlformats.org/officeDocument/2006/relationships/hyperlink" Target="https://my.zakupki.prom.ua/remote/dispatcher/state_purchase_view/32292038" TargetMode="External"/>
  <ns0:Relationship Id="rId1423" Type="http://schemas.openxmlformats.org/officeDocument/2006/relationships/hyperlink" Target="https://my.zakupki.prom.ua/remote/dispatcher/state_contracting_view/12266214" TargetMode="External"/>
  <ns0:Relationship Id="rId1424" Type="http://schemas.openxmlformats.org/officeDocument/2006/relationships/hyperlink" Target="https://my.zakupki.prom.ua/remote/dispatcher/state_purchase_view/31204525" TargetMode="External"/>
  <ns0:Relationship Id="rId1425" Type="http://schemas.openxmlformats.org/officeDocument/2006/relationships/hyperlink" Target="https://my.zakupki.prom.ua/remote/dispatcher/state_contracting_view/11055302" TargetMode="External"/>
  <ns0:Relationship Id="rId1426" Type="http://schemas.openxmlformats.org/officeDocument/2006/relationships/hyperlink" Target="https://my.zakupki.prom.ua/remote/dispatcher/state_purchase_view/33089248" TargetMode="External"/>
  <ns0:Relationship Id="rId1427" Type="http://schemas.openxmlformats.org/officeDocument/2006/relationships/hyperlink" Target="https://my.zakupki.prom.ua/remote/dispatcher/state_contracting_view/12288766" TargetMode="External"/>
  <ns0:Relationship Id="rId1428" Type="http://schemas.openxmlformats.org/officeDocument/2006/relationships/hyperlink" Target="https://my.zakupki.prom.ua/remote/dispatcher/state_purchase_view/24026810" TargetMode="External"/>
  <ns0:Relationship Id="rId1429" Type="http://schemas.openxmlformats.org/officeDocument/2006/relationships/hyperlink" Target="https://my.zakupki.prom.ua/remote/dispatcher/state_contracting_view/7674941" TargetMode="External"/>
  <ns0:Relationship Id="rId1430" Type="http://schemas.openxmlformats.org/officeDocument/2006/relationships/hyperlink" Target="https://my.zakupki.prom.ua/remote/dispatcher/state_purchase_view/27745720" TargetMode="External"/>
  <ns0:Relationship Id="rId1431" Type="http://schemas.openxmlformats.org/officeDocument/2006/relationships/hyperlink" Target="https://my.zakupki.prom.ua/remote/dispatcher/state_contracting_view/9445303" TargetMode="External"/>
  <ns0:Relationship Id="rId1432" Type="http://schemas.openxmlformats.org/officeDocument/2006/relationships/hyperlink" Target="https://my.zakupki.prom.ua/remote/dispatcher/state_purchase_view/28573497" TargetMode="External"/>
  <ns0:Relationship Id="rId1433" Type="http://schemas.openxmlformats.org/officeDocument/2006/relationships/hyperlink" Target="https://my.zakupki.prom.ua/remote/dispatcher/state_contracting_view/9837466" TargetMode="External"/>
  <ns0:Relationship Id="rId1434" Type="http://schemas.openxmlformats.org/officeDocument/2006/relationships/hyperlink" Target="https://my.zakupki.prom.ua/remote/dispatcher/state_purchase_view/30152647" TargetMode="External"/>
  <ns0:Relationship Id="rId1435" Type="http://schemas.openxmlformats.org/officeDocument/2006/relationships/hyperlink" Target="https://my.zakupki.prom.ua/remote/dispatcher/state_contracting_view/10570536" TargetMode="External"/>
  <ns0:Relationship Id="rId1436" Type="http://schemas.openxmlformats.org/officeDocument/2006/relationships/hyperlink" Target="https://my.zakupki.prom.ua/remote/dispatcher/state_purchase_view/29986512" TargetMode="External"/>
  <ns0:Relationship Id="rId1437" Type="http://schemas.openxmlformats.org/officeDocument/2006/relationships/hyperlink" Target="https://my.zakupki.prom.ua/remote/dispatcher/state_contracting_view/10493897" TargetMode="External"/>
  <ns0:Relationship Id="rId1438" Type="http://schemas.openxmlformats.org/officeDocument/2006/relationships/hyperlink" Target="https://my.zakupki.prom.ua/remote/dispatcher/state_purchase_view/29922190" TargetMode="External"/>
  <ns0:Relationship Id="rId1439" Type="http://schemas.openxmlformats.org/officeDocument/2006/relationships/hyperlink" Target="https://my.zakupki.prom.ua/remote/dispatcher/state_contracting_view/10476809" TargetMode="External"/>
  <ns0:Relationship Id="rId1440" Type="http://schemas.openxmlformats.org/officeDocument/2006/relationships/hyperlink" Target="https://my.zakupki.prom.ua/remote/dispatcher/state_purchase_view/30157041" TargetMode="External"/>
  <ns0:Relationship Id="rId1441" Type="http://schemas.openxmlformats.org/officeDocument/2006/relationships/hyperlink" Target="https://my.zakupki.prom.ua/remote/dispatcher/state_contracting_view/10572778" TargetMode="External"/>
  <ns0:Relationship Id="rId1442" Type="http://schemas.openxmlformats.org/officeDocument/2006/relationships/hyperlink" Target="https://my.zakupki.prom.ua/remote/dispatcher/state_purchase_view/27770030" TargetMode="External"/>
  <ns0:Relationship Id="rId1443" Type="http://schemas.openxmlformats.org/officeDocument/2006/relationships/hyperlink" Target="https://my.zakupki.prom.ua/remote/dispatcher/state_contracting_view/9464250" TargetMode="External"/>
  <ns0:Relationship Id="rId1444" Type="http://schemas.openxmlformats.org/officeDocument/2006/relationships/hyperlink" Target="https://my.zakupki.prom.ua/remote/dispatcher/state_purchase_view/27775322" TargetMode="External"/>
  <ns0:Relationship Id="rId1445" Type="http://schemas.openxmlformats.org/officeDocument/2006/relationships/hyperlink" Target="https://my.zakupki.prom.ua/remote/dispatcher/state_contracting_view/9465639" TargetMode="External"/>
  <ns0:Relationship Id="rId1446" Type="http://schemas.openxmlformats.org/officeDocument/2006/relationships/hyperlink" Target="https://my.zakupki.prom.ua/remote/dispatcher/state_purchase_view/33784945" TargetMode="External"/>
  <ns0:Relationship Id="rId1447" Type="http://schemas.openxmlformats.org/officeDocument/2006/relationships/hyperlink" Target="https://my.zakupki.prom.ua/remote/dispatcher/state_contracting_view/12269884" TargetMode="External"/>
  <ns0:Relationship Id="rId1448" Type="http://schemas.openxmlformats.org/officeDocument/2006/relationships/hyperlink" Target="https://my.zakupki.prom.ua/remote/dispatcher/state_purchase_view/24784610" TargetMode="External"/>
  <ns0:Relationship Id="rId1449" Type="http://schemas.openxmlformats.org/officeDocument/2006/relationships/hyperlink" Target="https://my.zakupki.prom.ua/remote/dispatcher/state_contracting_view/8044683" TargetMode="External"/>
  <ns0:Relationship Id="rId1450" Type="http://schemas.openxmlformats.org/officeDocument/2006/relationships/hyperlink" Target="https://my.zakupki.prom.ua/remote/dispatcher/state_purchase_view/26012511" TargetMode="External"/>
  <ns0:Relationship Id="rId1451" Type="http://schemas.openxmlformats.org/officeDocument/2006/relationships/hyperlink" Target="https://my.zakupki.prom.ua/remote/dispatcher/state_contracting_view/8654564" TargetMode="External"/>
  <ns0:Relationship Id="rId1452" Type="http://schemas.openxmlformats.org/officeDocument/2006/relationships/hyperlink" Target="https://my.zakupki.prom.ua/remote/dispatcher/state_purchase_view/25473287" TargetMode="External"/>
  <ns0:Relationship Id="rId1453" Type="http://schemas.openxmlformats.org/officeDocument/2006/relationships/hyperlink" Target="https://my.zakupki.prom.ua/remote/dispatcher/state_contracting_view/8378289" TargetMode="External"/>
  <ns0:Relationship Id="rId1454" Type="http://schemas.openxmlformats.org/officeDocument/2006/relationships/hyperlink" Target="https://my.zakupki.prom.ua/remote/dispatcher/state_purchase_view/26016483" TargetMode="External"/>
  <ns0:Relationship Id="rId1455" Type="http://schemas.openxmlformats.org/officeDocument/2006/relationships/hyperlink" Target="https://my.zakupki.prom.ua/remote/dispatcher/state_contracting_view/8654595" TargetMode="External"/>
  <ns0:Relationship Id="rId1456" Type="http://schemas.openxmlformats.org/officeDocument/2006/relationships/hyperlink" Target="https://my.zakupki.prom.ua/remote/dispatcher/state_purchase_view/31290055" TargetMode="External"/>
  <ns0:Relationship Id="rId1457" Type="http://schemas.openxmlformats.org/officeDocument/2006/relationships/hyperlink" Target="https://my.zakupki.prom.ua/remote/dispatcher/state_contracting_view/11440686" TargetMode="External"/>
  <ns0:Relationship Id="rId1458" Type="http://schemas.openxmlformats.org/officeDocument/2006/relationships/hyperlink" Target="https://my.zakupki.prom.ua/remote/dispatcher/state_purchase_view/31323912" TargetMode="External"/>
  <ns0:Relationship Id="rId1459" Type="http://schemas.openxmlformats.org/officeDocument/2006/relationships/hyperlink" Target="https://my.zakupki.prom.ua/remote/dispatcher/state_contracting_view/11109192" TargetMode="External"/>
  <ns0:Relationship Id="rId1460" Type="http://schemas.openxmlformats.org/officeDocument/2006/relationships/hyperlink" Target="https://my.zakupki.prom.ua/remote/dispatcher/state_purchase_view/25775738" TargetMode="External"/>
  <ns0:Relationship Id="rId1461" Type="http://schemas.openxmlformats.org/officeDocument/2006/relationships/hyperlink" Target="https://my.zakupki.prom.ua/remote/dispatcher/state_contracting_view/8507219" TargetMode="External"/>
  <ns0:Relationship Id="rId1462" Type="http://schemas.openxmlformats.org/officeDocument/2006/relationships/hyperlink" Target="https://my.zakupki.prom.ua/remote/dispatcher/state_purchase_view/25697523" TargetMode="External"/>
  <ns0:Relationship Id="rId1463" Type="http://schemas.openxmlformats.org/officeDocument/2006/relationships/hyperlink" Target="https://my.zakupki.prom.ua/remote/dispatcher/state_contracting_view/8469832" TargetMode="External"/>
  <ns0:Relationship Id="rId1464" Type="http://schemas.openxmlformats.org/officeDocument/2006/relationships/hyperlink" Target="https://my.zakupki.prom.ua/remote/dispatcher/state_purchase_view/25636847" TargetMode="External"/>
  <ns0:Relationship Id="rId1465" Type="http://schemas.openxmlformats.org/officeDocument/2006/relationships/hyperlink" Target="https://my.zakupki.prom.ua/remote/dispatcher/state_contracting_view/8443467" TargetMode="External"/>
  <ns0:Relationship Id="rId1466" Type="http://schemas.openxmlformats.org/officeDocument/2006/relationships/hyperlink" Target="https://my.zakupki.prom.ua/remote/dispatcher/state_purchase_view/25878289" TargetMode="External"/>
  <ns0:Relationship Id="rId1467" Type="http://schemas.openxmlformats.org/officeDocument/2006/relationships/hyperlink" Target="https://my.zakupki.prom.ua/remote/dispatcher/state_contracting_view/8555151" TargetMode="External"/>
  <ns0:Relationship Id="rId1468" Type="http://schemas.openxmlformats.org/officeDocument/2006/relationships/hyperlink" Target="https://my.zakupki.prom.ua/remote/dispatcher/state_purchase_view/25676964" TargetMode="External"/>
  <ns0:Relationship Id="rId1469" Type="http://schemas.openxmlformats.org/officeDocument/2006/relationships/hyperlink" Target="https://my.zakupki.prom.ua/remote/dispatcher/state_contracting_view/8459071" TargetMode="External"/>
  <ns0:Relationship Id="rId1470" Type="http://schemas.openxmlformats.org/officeDocument/2006/relationships/hyperlink" Target="https://my.zakupki.prom.ua/remote/dispatcher/state_purchase_view/29696190" TargetMode="External"/>
  <ns0:Relationship Id="rId1471" Type="http://schemas.openxmlformats.org/officeDocument/2006/relationships/hyperlink" Target="https://my.zakupki.prom.ua/remote/dispatcher/state_contracting_view/10359918" TargetMode="External"/>
  <ns0:Relationship Id="rId1472" Type="http://schemas.openxmlformats.org/officeDocument/2006/relationships/hyperlink" Target="https://my.zakupki.prom.ua/remote/dispatcher/state_purchase_view/22936288" TargetMode="External"/>
  <ns0:Relationship Id="rId1473" Type="http://schemas.openxmlformats.org/officeDocument/2006/relationships/hyperlink" Target="https://my.zakupki.prom.ua/remote/dispatcher/state_contracting_view/7215317" TargetMode="External"/>
  <ns0:Relationship Id="rId1474" Type="http://schemas.openxmlformats.org/officeDocument/2006/relationships/hyperlink" Target="https://my.zakupki.prom.ua/remote/dispatcher/state_purchase_view/23042662" TargetMode="External"/>
  <ns0:Relationship Id="rId1475" Type="http://schemas.openxmlformats.org/officeDocument/2006/relationships/hyperlink" Target="https://my.zakupki.prom.ua/remote/dispatcher/state_contracting_view/7251390" TargetMode="External"/>
  <ns0:Relationship Id="rId1476" Type="http://schemas.openxmlformats.org/officeDocument/2006/relationships/hyperlink" Target="https://my.zakupki.prom.ua/remote/dispatcher/state_purchase_view/26261699" TargetMode="External"/>
  <ns0:Relationship Id="rId1477" Type="http://schemas.openxmlformats.org/officeDocument/2006/relationships/hyperlink" Target="https://my.zakupki.prom.ua/remote/dispatcher/state_contracting_view/8740194" TargetMode="External"/>
  <ns0:Relationship Id="rId1478" Type="http://schemas.openxmlformats.org/officeDocument/2006/relationships/hyperlink" Target="https://my.zakupki.prom.ua/remote/dispatcher/state_purchase_view/26233950" TargetMode="External"/>
  <ns0:Relationship Id="rId1479" Type="http://schemas.openxmlformats.org/officeDocument/2006/relationships/hyperlink" Target="https://my.zakupki.prom.ua/remote/dispatcher/state_contracting_view/8734145" TargetMode="External"/>
  <ns0:Relationship Id="rId1480" Type="http://schemas.openxmlformats.org/officeDocument/2006/relationships/hyperlink" Target="https://my.zakupki.prom.ua/remote/dispatcher/state_purchase_view/26184434" TargetMode="External"/>
  <ns0:Relationship Id="rId1481" Type="http://schemas.openxmlformats.org/officeDocument/2006/relationships/hyperlink" Target="https://my.zakupki.prom.ua/remote/dispatcher/state_contracting_view/8703464" TargetMode="External"/>
  <ns0:Relationship Id="rId1482" Type="http://schemas.openxmlformats.org/officeDocument/2006/relationships/hyperlink" Target="https://my.zakupki.prom.ua/remote/dispatcher/state_purchase_view/25523718" TargetMode="External"/>
  <ns0:Relationship Id="rId1483" Type="http://schemas.openxmlformats.org/officeDocument/2006/relationships/hyperlink" Target="https://my.zakupki.prom.ua/remote/dispatcher/state_contracting_view/8386412" TargetMode="External"/>
  <ns0:Relationship Id="rId1484" Type="http://schemas.openxmlformats.org/officeDocument/2006/relationships/hyperlink" Target="https://my.zakupki.prom.ua/remote/dispatcher/state_purchase_view/25520884" TargetMode="External"/>
  <ns0:Relationship Id="rId1485" Type="http://schemas.openxmlformats.org/officeDocument/2006/relationships/hyperlink" Target="https://my.zakupki.prom.ua/remote/dispatcher/state_contracting_view/8385468" TargetMode="External"/>
  <ns0:Relationship Id="rId1486" Type="http://schemas.openxmlformats.org/officeDocument/2006/relationships/hyperlink" Target="https://my.zakupki.prom.ua/remote/dispatcher/state_purchase_view/25633887" TargetMode="External"/>
  <ns0:Relationship Id="rId1487" Type="http://schemas.openxmlformats.org/officeDocument/2006/relationships/hyperlink" Target="https://my.zakupki.prom.ua/remote/dispatcher/state_contracting_view/8443282" TargetMode="External"/>
  <ns0:Relationship Id="rId1488" Type="http://schemas.openxmlformats.org/officeDocument/2006/relationships/hyperlink" Target="https://my.zakupki.prom.ua/remote/dispatcher/state_purchase_view/25579025" TargetMode="External"/>
  <ns0:Relationship Id="rId1489" Type="http://schemas.openxmlformats.org/officeDocument/2006/relationships/hyperlink" Target="https://my.zakupki.prom.ua/remote/dispatcher/state_contracting_view/8792160" TargetMode="External"/>
  <ns0:Relationship Id="rId1490" Type="http://schemas.openxmlformats.org/officeDocument/2006/relationships/hyperlink" Target="https://my.zakupki.prom.ua/remote/dispatcher/state_purchase_view/26049011" TargetMode="External"/>
  <ns0:Relationship Id="rId1491" Type="http://schemas.openxmlformats.org/officeDocument/2006/relationships/hyperlink" Target="https://my.zakupki.prom.ua/remote/dispatcher/state_contracting_view/8649039" TargetMode="External"/>
  <ns0:Relationship Id="rId1492" Type="http://schemas.openxmlformats.org/officeDocument/2006/relationships/hyperlink" Target="https://my.zakupki.prom.ua/remote/dispatcher/state_purchase_view/26046048" TargetMode="External"/>
  <ns0:Relationship Id="rId1493" Type="http://schemas.openxmlformats.org/officeDocument/2006/relationships/hyperlink" Target="https://my.zakupki.prom.ua/remote/dispatcher/state_contracting_view/8635589" TargetMode="External"/>
  <ns0:Relationship Id="rId1494" Type="http://schemas.openxmlformats.org/officeDocument/2006/relationships/hyperlink" Target="https://my.zakupki.prom.ua/remote/dispatcher/state_purchase_view/26710623" TargetMode="External"/>
  <ns0:Relationship Id="rId1495" Type="http://schemas.openxmlformats.org/officeDocument/2006/relationships/hyperlink" Target="https://my.zakupki.prom.ua/remote/dispatcher/state_contracting_view/8953876" TargetMode="External"/>
  <ns0:Relationship Id="rId1496" Type="http://schemas.openxmlformats.org/officeDocument/2006/relationships/hyperlink" Target="https://my.zakupki.prom.ua/remote/dispatcher/state_purchase_view/26613957" TargetMode="External"/>
  <ns0:Relationship Id="rId1497" Type="http://schemas.openxmlformats.org/officeDocument/2006/relationships/hyperlink" Target="https://my.zakupki.prom.ua/remote/dispatcher/state_contracting_view/8908195" TargetMode="External"/>
  <ns0:Relationship Id="rId1498" Type="http://schemas.openxmlformats.org/officeDocument/2006/relationships/hyperlink" Target="https://my.zakupki.prom.ua/remote/dispatcher/state_purchase_view/25259454" TargetMode="External"/>
  <ns0:Relationship Id="rId1499" Type="http://schemas.openxmlformats.org/officeDocument/2006/relationships/hyperlink" Target="https://my.zakupki.prom.ua/remote/dispatcher/state_contracting_view/8280346" TargetMode="External"/>
  <ns0:Relationship Id="rId1500" Type="http://schemas.openxmlformats.org/officeDocument/2006/relationships/hyperlink" Target="https://my.zakupki.prom.ua/remote/dispatcher/state_purchase_view/24914719" TargetMode="External"/>
  <ns0:Relationship Id="rId1501" Type="http://schemas.openxmlformats.org/officeDocument/2006/relationships/hyperlink" Target="https://my.zakupki.prom.ua/remote/dispatcher/state_contracting_view/8096399" TargetMode="External"/>
  <ns0:Relationship Id="rId1502" Type="http://schemas.openxmlformats.org/officeDocument/2006/relationships/hyperlink" Target="https://my.zakupki.prom.ua/remote/dispatcher/state_purchase_view/24771241" TargetMode="External"/>
  <ns0:Relationship Id="rId1503" Type="http://schemas.openxmlformats.org/officeDocument/2006/relationships/hyperlink" Target="https://my.zakupki.prom.ua/remote/dispatcher/state_contracting_view/8026995" TargetMode="External"/>
  <ns0:Relationship Id="rId1504" Type="http://schemas.openxmlformats.org/officeDocument/2006/relationships/hyperlink" Target="https://my.zakupki.prom.ua/remote/dispatcher/state_purchase_view/25228855" TargetMode="External"/>
  <ns0:Relationship Id="rId1505" Type="http://schemas.openxmlformats.org/officeDocument/2006/relationships/hyperlink" Target="https://my.zakupki.prom.ua/remote/dispatcher/state_contracting_view/8260557" TargetMode="External"/>
  <ns0:Relationship Id="rId1506" Type="http://schemas.openxmlformats.org/officeDocument/2006/relationships/hyperlink" Target="https://my.zakupki.prom.ua/remote/dispatcher/state_purchase_view/32748896" TargetMode="External"/>
  <ns0:Relationship Id="rId1507" Type="http://schemas.openxmlformats.org/officeDocument/2006/relationships/hyperlink" Target="https://my.zakupki.prom.ua/remote/dispatcher/state_contracting_view/11771846" TargetMode="External"/>
  <ns0:Relationship Id="rId1508" Type="http://schemas.openxmlformats.org/officeDocument/2006/relationships/hyperlink" Target="https://my.zakupki.prom.ua/remote/dispatcher/state_purchase_view/31626352" TargetMode="External"/>
  <ns0:Relationship Id="rId1509" Type="http://schemas.openxmlformats.org/officeDocument/2006/relationships/hyperlink" Target="https://my.zakupki.prom.ua/remote/dispatcher/state_contracting_view/11250174" TargetMode="External"/>
  <ns0:Relationship Id="rId1510" Type="http://schemas.openxmlformats.org/officeDocument/2006/relationships/hyperlink" Target="https://my.zakupki.prom.ua/remote/dispatcher/state_purchase_view/22993852" TargetMode="External"/>
  <ns0:Relationship Id="rId1511" Type="http://schemas.openxmlformats.org/officeDocument/2006/relationships/hyperlink" Target="https://my.zakupki.prom.ua/remote/dispatcher/state_contracting_view/7234530" TargetMode="External"/>
  <ns0:Relationship Id="rId1512" Type="http://schemas.openxmlformats.org/officeDocument/2006/relationships/hyperlink" Target="https://my.zakupki.prom.ua/remote/dispatcher/state_purchase_view/23424657" TargetMode="External"/>
  <ns0:Relationship Id="rId1513" Type="http://schemas.openxmlformats.org/officeDocument/2006/relationships/hyperlink" Target="https://my.zakupki.prom.ua/remote/dispatcher/state_contracting_view/7418152" TargetMode="External"/>
  <ns0:Relationship Id="rId1514" Type="http://schemas.openxmlformats.org/officeDocument/2006/relationships/hyperlink" Target="https://my.zakupki.prom.ua/remote/dispatcher/state_purchase_view/23995676" TargetMode="External"/>
  <ns0:Relationship Id="rId1515" Type="http://schemas.openxmlformats.org/officeDocument/2006/relationships/hyperlink" Target="https://my.zakupki.prom.ua/remote/dispatcher/state_contracting_view/7664225" TargetMode="External"/>
  <ns0:Relationship Id="rId1516" Type="http://schemas.openxmlformats.org/officeDocument/2006/relationships/hyperlink" Target="https://my.zakupki.prom.ua/remote/dispatcher/state_purchase_view/24094672" TargetMode="External"/>
  <ns0:Relationship Id="rId1517" Type="http://schemas.openxmlformats.org/officeDocument/2006/relationships/hyperlink" Target="https://my.zakupki.prom.ua/remote/dispatcher/state_contracting_view/7713274" TargetMode="External"/>
  <ns0:Relationship Id="rId1518" Type="http://schemas.openxmlformats.org/officeDocument/2006/relationships/hyperlink" Target="https://my.zakupki.prom.ua/remote/dispatcher/state_purchase_view/23168551" TargetMode="External"/>
  <ns0:Relationship Id="rId1519" Type="http://schemas.openxmlformats.org/officeDocument/2006/relationships/hyperlink" Target="https://my.zakupki.prom.ua/remote/dispatcher/state_contracting_view/7301409" TargetMode="External"/>
  <ns0:Relationship Id="rId1520" Type="http://schemas.openxmlformats.org/officeDocument/2006/relationships/hyperlink" Target="https://my.zakupki.prom.ua/remote/dispatcher/state_purchase_view/32711565" TargetMode="External"/>
  <ns0:Relationship Id="rId1521" Type="http://schemas.openxmlformats.org/officeDocument/2006/relationships/hyperlink" Target="https://my.zakupki.prom.ua/remote/dispatcher/state_contracting_view/11748193" TargetMode="External"/>
  <ns0:Relationship Id="rId1522" Type="http://schemas.openxmlformats.org/officeDocument/2006/relationships/hyperlink" Target="https://my.zakupki.prom.ua/remote/dispatcher/state_purchase_view/31513840" TargetMode="External"/>
  <ns0:Relationship Id="rId1523" Type="http://schemas.openxmlformats.org/officeDocument/2006/relationships/hyperlink" Target="https://my.zakupki.prom.ua/remote/dispatcher/state_contracting_view/11197121" TargetMode="External"/>
  <ns0:Relationship Id="rId1524" Type="http://schemas.openxmlformats.org/officeDocument/2006/relationships/hyperlink" Target="https://my.zakupki.prom.ua/remote/dispatcher/state_purchase_view/23369624" TargetMode="External"/>
  <ns0:Relationship Id="rId1525" Type="http://schemas.openxmlformats.org/officeDocument/2006/relationships/hyperlink" Target="https://my.zakupki.prom.ua/remote/dispatcher/state_contracting_view/7382606" TargetMode="External"/>
  <ns0:Relationship Id="rId1526" Type="http://schemas.openxmlformats.org/officeDocument/2006/relationships/hyperlink" Target="https://my.zakupki.prom.ua/remote/dispatcher/state_purchase_view/33852709" TargetMode="External"/>
  <ns0:Relationship Id="rId1527" Type="http://schemas.openxmlformats.org/officeDocument/2006/relationships/hyperlink" Target="https://my.zakupki.prom.ua/remote/dispatcher/state_contracting_view/12302454" TargetMode="External"/>
  <ns0:Relationship Id="rId1528" Type="http://schemas.openxmlformats.org/officeDocument/2006/relationships/hyperlink" Target="https://my.zakupki.prom.ua/remote/dispatcher/state_purchase_view/29047220" TargetMode="External"/>
  <ns0:Relationship Id="rId1529" Type="http://schemas.openxmlformats.org/officeDocument/2006/relationships/hyperlink" Target="https://my.zakupki.prom.ua/remote/dispatcher/state_contracting_view/10181644" TargetMode="External"/>
  <ns0:Relationship Id="rId1530" Type="http://schemas.openxmlformats.org/officeDocument/2006/relationships/hyperlink" Target="https://my.zakupki.prom.ua/remote/dispatcher/state_purchase_view/23559861" TargetMode="External"/>
  <ns0:Relationship Id="rId1531" Type="http://schemas.openxmlformats.org/officeDocument/2006/relationships/hyperlink" Target="https://my.zakupki.prom.ua/remote/dispatcher/state_contracting_view/7465074" TargetMode="External"/>
  <ns0:Relationship Id="rId1532" Type="http://schemas.openxmlformats.org/officeDocument/2006/relationships/hyperlink" Target="https://my.zakupki.prom.ua/remote/dispatcher/state_purchase_view/24422864" TargetMode="External"/>
  <ns0:Relationship Id="rId1533" Type="http://schemas.openxmlformats.org/officeDocument/2006/relationships/hyperlink" Target="https://my.zakupki.prom.ua/remote/dispatcher/state_contracting_view/7861642" TargetMode="External"/>
  <ns0:Relationship Id="rId1534" Type="http://schemas.openxmlformats.org/officeDocument/2006/relationships/hyperlink" Target="https://my.zakupki.prom.ua/remote/dispatcher/state_purchase_view/24095045" TargetMode="External"/>
  <ns0:Relationship Id="rId1535" Type="http://schemas.openxmlformats.org/officeDocument/2006/relationships/hyperlink" Target="https://my.zakupki.prom.ua/remote/dispatcher/state_contracting_view/7718132" TargetMode="External"/>
  <ns0:Relationship Id="rId1536" Type="http://schemas.openxmlformats.org/officeDocument/2006/relationships/hyperlink" Target="https://my.zakupki.prom.ua/remote/dispatcher/state_purchase_view/22930203" TargetMode="External"/>
  <ns0:Relationship Id="rId1537" Type="http://schemas.openxmlformats.org/officeDocument/2006/relationships/hyperlink" Target="https://my.zakupki.prom.ua/remote/dispatcher/state_contracting_view/7213367" TargetMode="External"/>
  <ns0:Relationship Id="rId1538" Type="http://schemas.openxmlformats.org/officeDocument/2006/relationships/hyperlink" Target="https://my.zakupki.prom.ua/remote/dispatcher/state_purchase_view/26305292" TargetMode="External"/>
  <ns0:Relationship Id="rId1539" Type="http://schemas.openxmlformats.org/officeDocument/2006/relationships/hyperlink" Target="https://my.zakupki.prom.ua/remote/dispatcher/state_contracting_view/8774243" TargetMode="External"/>
  <ns0:Relationship Id="rId1540" Type="http://schemas.openxmlformats.org/officeDocument/2006/relationships/hyperlink" Target="https://my.zakupki.prom.ua/remote/dispatcher/state_purchase_view/27087434" TargetMode="External"/>
  <ns0:Relationship Id="rId1541" Type="http://schemas.openxmlformats.org/officeDocument/2006/relationships/hyperlink" Target="https://my.zakupki.prom.ua/remote/dispatcher/state_contracting_view/9132886" TargetMode="External"/>
  <ns0:Relationship Id="rId1542" Type="http://schemas.openxmlformats.org/officeDocument/2006/relationships/hyperlink" Target="https://my.zakupki.prom.ua/remote/dispatcher/state_purchase_view/24869321" TargetMode="External"/>
  <ns0:Relationship Id="rId1543" Type="http://schemas.openxmlformats.org/officeDocument/2006/relationships/hyperlink" Target="https://my.zakupki.prom.ua/remote/dispatcher/state_contracting_view/8085702" TargetMode="External"/>
  <ns0:Relationship Id="rId1544" Type="http://schemas.openxmlformats.org/officeDocument/2006/relationships/hyperlink" Target="https://my.zakupki.prom.ua/remote/dispatcher/state_purchase_view/24783330" TargetMode="External"/>
  <ns0:Relationship Id="rId1545" Type="http://schemas.openxmlformats.org/officeDocument/2006/relationships/hyperlink" Target="https://my.zakupki.prom.ua/remote/dispatcher/state_contracting_view/8044113" TargetMode="External"/>
  <ns0:Relationship Id="rId1546" Type="http://schemas.openxmlformats.org/officeDocument/2006/relationships/hyperlink" Target="https://my.zakupki.prom.ua/remote/dispatcher/state_purchase_view/24773555" TargetMode="External"/>
  <ns0:Relationship Id="rId1547" Type="http://schemas.openxmlformats.org/officeDocument/2006/relationships/hyperlink" Target="https://my.zakupki.prom.ua/remote/dispatcher/state_contracting_view/8041809" TargetMode="External"/>
  <ns0:Relationship Id="rId1548" Type="http://schemas.openxmlformats.org/officeDocument/2006/relationships/hyperlink" Target="https://my.zakupki.prom.ua/remote/dispatcher/state_purchase_view/24779853" TargetMode="External"/>
  <ns0:Relationship Id="rId1549" Type="http://schemas.openxmlformats.org/officeDocument/2006/relationships/hyperlink" Target="https://my.zakupki.prom.ua/remote/dispatcher/state_contracting_view/8031366" TargetMode="External"/>
  <ns0:Relationship Id="rId1550" Type="http://schemas.openxmlformats.org/officeDocument/2006/relationships/hyperlink" Target="https://my.zakupki.prom.ua/remote/dispatcher/state_purchase_view/31760403" TargetMode="External"/>
  <ns0:Relationship Id="rId1551" Type="http://schemas.openxmlformats.org/officeDocument/2006/relationships/hyperlink" Target="https://my.zakupki.prom.ua/remote/dispatcher/state_contracting_view/11309080" TargetMode="External"/>
  <ns0:Relationship Id="rId1552" Type="http://schemas.openxmlformats.org/officeDocument/2006/relationships/hyperlink" Target="https://my.zakupki.prom.ua/remote/dispatcher/state_purchase_view/25253956" TargetMode="External"/>
  <ns0:Relationship Id="rId1553" Type="http://schemas.openxmlformats.org/officeDocument/2006/relationships/hyperlink" Target="https://my.zakupki.prom.ua/remote/dispatcher/state_contracting_view/8277021" TargetMode="External"/>
  <ns0:Relationship Id="rId1554" Type="http://schemas.openxmlformats.org/officeDocument/2006/relationships/hyperlink" Target="https://my.zakupki.prom.ua/remote/dispatcher/state_purchase_view/25253351" TargetMode="External"/>
  <ns0:Relationship Id="rId1555" Type="http://schemas.openxmlformats.org/officeDocument/2006/relationships/hyperlink" Target="https://my.zakupki.prom.ua/remote/dispatcher/state_contracting_view/8276435" TargetMode="External"/>
  <ns0:Relationship Id="rId1556" Type="http://schemas.openxmlformats.org/officeDocument/2006/relationships/hyperlink" Target="https://my.zakupki.prom.ua/remote/dispatcher/state_purchase_view/24581352" TargetMode="External"/>
  <ns0:Relationship Id="rId1557" Type="http://schemas.openxmlformats.org/officeDocument/2006/relationships/hyperlink" Target="https://my.zakupki.prom.ua/remote/dispatcher/state_contracting_view/7942469" TargetMode="External"/>
  <ns0:Relationship Id="rId1558" Type="http://schemas.openxmlformats.org/officeDocument/2006/relationships/hyperlink" Target="https://my.zakupki.prom.ua/remote/dispatcher/state_purchase_view/23869434" TargetMode="External"/>
  <ns0:Relationship Id="rId1559" Type="http://schemas.openxmlformats.org/officeDocument/2006/relationships/hyperlink" Target="https://my.zakupki.prom.ua/remote/dispatcher/state_contracting_view/7603002" TargetMode="External"/>
  <ns0:Relationship Id="rId1560" Type="http://schemas.openxmlformats.org/officeDocument/2006/relationships/hyperlink" Target="https://my.zakupki.prom.ua/remote/dispatcher/state_purchase_view/24259229" TargetMode="External"/>
  <ns0:Relationship Id="rId1561" Type="http://schemas.openxmlformats.org/officeDocument/2006/relationships/hyperlink" Target="https://my.zakupki.prom.ua/remote/dispatcher/state_contracting_view/7788036" TargetMode="External"/>
  <ns0:Relationship Id="rId1562" Type="http://schemas.openxmlformats.org/officeDocument/2006/relationships/hyperlink" Target="https://my.zakupki.prom.ua/remote/dispatcher/state_purchase_view/25531334" TargetMode="External"/>
  <ns0:Relationship Id="rId1563" Type="http://schemas.openxmlformats.org/officeDocument/2006/relationships/hyperlink" Target="https://my.zakupki.prom.ua/remote/dispatcher/state_contracting_view/8390332" TargetMode="External"/>
  <ns0:Relationship Id="rId1564" Type="http://schemas.openxmlformats.org/officeDocument/2006/relationships/hyperlink" Target="https://my.zakupki.prom.ua/remote/dispatcher/state_purchase_view/26678251" TargetMode="External"/>
  <ns0:Relationship Id="rId1565" Type="http://schemas.openxmlformats.org/officeDocument/2006/relationships/hyperlink" Target="https://my.zakupki.prom.ua/remote/dispatcher/state_contracting_view/8947116" TargetMode="External"/>
  <ns0:Relationship Id="rId1566" Type="http://schemas.openxmlformats.org/officeDocument/2006/relationships/hyperlink" Target="https://my.zakupki.prom.ua/remote/dispatcher/state_purchase_view/28571051" TargetMode="External"/>
  <ns0:Relationship Id="rId1567" Type="http://schemas.openxmlformats.org/officeDocument/2006/relationships/hyperlink" Target="https://my.zakupki.prom.ua/remote/dispatcher/state_contracting_view/9836206" TargetMode="External"/>
  <ns0:Relationship Id="rId1568" Type="http://schemas.openxmlformats.org/officeDocument/2006/relationships/hyperlink" Target="https://my.zakupki.prom.ua/remote/dispatcher/state_purchase_view/30290174" TargetMode="External"/>
  <ns0:Relationship Id="rId1569" Type="http://schemas.openxmlformats.org/officeDocument/2006/relationships/hyperlink" Target="https://my.zakupki.prom.ua/remote/dispatcher/state_contracting_view/10635071" TargetMode="External"/>
  <ns0:Relationship Id="rId1570" Type="http://schemas.openxmlformats.org/officeDocument/2006/relationships/hyperlink" Target="https://my.zakupki.prom.ua/remote/dispatcher/state_purchase_view/29175420" TargetMode="External"/>
  <ns0:Relationship Id="rId1571" Type="http://schemas.openxmlformats.org/officeDocument/2006/relationships/hyperlink" Target="https://my.zakupki.prom.ua/remote/dispatcher/state_contracting_view/10123977" TargetMode="External"/>
  <ns0:Relationship Id="rId1572" Type="http://schemas.openxmlformats.org/officeDocument/2006/relationships/hyperlink" Target="https://my.zakupki.prom.ua/remote/dispatcher/state_purchase_view/27946326" TargetMode="External"/>
  <ns0:Relationship Id="rId1573" Type="http://schemas.openxmlformats.org/officeDocument/2006/relationships/hyperlink" Target="https://my.zakupki.prom.ua/remote/dispatcher/state_contracting_view/9799660" TargetMode="External"/>
  <ns0:Relationship Id="rId1574" Type="http://schemas.openxmlformats.org/officeDocument/2006/relationships/hyperlink" Target="https://my.zakupki.prom.ua/remote/dispatcher/state_purchase_view/29508240" TargetMode="External"/>
  <ns0:Relationship Id="rId1575" Type="http://schemas.openxmlformats.org/officeDocument/2006/relationships/hyperlink" Target="https://my.zakupki.prom.ua/remote/dispatcher/state_contracting_view/10273886" TargetMode="External"/>
  <ns0:Relationship Id="rId1576" Type="http://schemas.openxmlformats.org/officeDocument/2006/relationships/hyperlink" Target="https://my.zakupki.prom.ua/remote/dispatcher/state_purchase_view/30155269" TargetMode="External"/>
  <ns0:Relationship Id="rId1577" Type="http://schemas.openxmlformats.org/officeDocument/2006/relationships/hyperlink" Target="https://my.zakupki.prom.ua/remote/dispatcher/state_contracting_view/10571444" TargetMode="External"/>
  <ns0:Relationship Id="rId1578" Type="http://schemas.openxmlformats.org/officeDocument/2006/relationships/hyperlink" Target="https://my.zakupki.prom.ua/remote/dispatcher/state_purchase_view/30151661" TargetMode="External"/>
  <ns0:Relationship Id="rId1579" Type="http://schemas.openxmlformats.org/officeDocument/2006/relationships/hyperlink" Target="https://my.zakupki.prom.ua/remote/dispatcher/state_contracting_view/10570123" TargetMode="External"/>
  <ns0:Relationship Id="rId1580" Type="http://schemas.openxmlformats.org/officeDocument/2006/relationships/hyperlink" Target="https://my.zakupki.prom.ua/remote/dispatcher/state_purchase_view/30149209" TargetMode="External"/>
  <ns0:Relationship Id="rId1581" Type="http://schemas.openxmlformats.org/officeDocument/2006/relationships/hyperlink" Target="https://my.zakupki.prom.ua/remote/dispatcher/state_contracting_view/10568755" TargetMode="External"/>
  <ns0:Relationship Id="rId1582" Type="http://schemas.openxmlformats.org/officeDocument/2006/relationships/hyperlink" Target="https://my.zakupki.prom.ua/remote/dispatcher/state_purchase_view/30420840" TargetMode="External"/>
  <ns0:Relationship Id="rId1583" Type="http://schemas.openxmlformats.org/officeDocument/2006/relationships/hyperlink" Target="https://my.zakupki.prom.ua/remote/dispatcher/state_contracting_view/10694323" TargetMode="External"/>
  <ns0:Relationship Id="rId1584" Type="http://schemas.openxmlformats.org/officeDocument/2006/relationships/hyperlink" Target="https://my.zakupki.prom.ua/remote/dispatcher/state_purchase_view/26182687" TargetMode="External"/>
  <ns0:Relationship Id="rId1585" Type="http://schemas.openxmlformats.org/officeDocument/2006/relationships/hyperlink" Target="https://my.zakupki.prom.ua/remote/dispatcher/state_contracting_view/8702055" TargetMode="External"/>
  <ns0:Relationship Id="rId1586" Type="http://schemas.openxmlformats.org/officeDocument/2006/relationships/hyperlink" Target="https://my.zakupki.prom.ua/remote/dispatcher/state_purchase_view/25630636" TargetMode="External"/>
  <ns0:Relationship Id="rId1587" Type="http://schemas.openxmlformats.org/officeDocument/2006/relationships/hyperlink" Target="https://my.zakupki.prom.ua/remote/dispatcher/state_contracting_view/8442877" TargetMode="External"/>
  <ns0:Relationship Id="rId1588" Type="http://schemas.openxmlformats.org/officeDocument/2006/relationships/hyperlink" Target="https://my.zakupki.prom.ua/remote/dispatcher/state_purchase_view/25629987" TargetMode="External"/>
  <ns0:Relationship Id="rId1589" Type="http://schemas.openxmlformats.org/officeDocument/2006/relationships/hyperlink" Target="https://my.zakupki.prom.ua/remote/dispatcher/state_contracting_view/8442664" TargetMode="External"/>
  <ns0:Relationship Id="rId1590" Type="http://schemas.openxmlformats.org/officeDocument/2006/relationships/hyperlink" Target="https://my.zakupki.prom.ua/remote/dispatcher/state_purchase_view/25629260" TargetMode="External"/>
  <ns0:Relationship Id="rId1591" Type="http://schemas.openxmlformats.org/officeDocument/2006/relationships/hyperlink" Target="https://my.zakupki.prom.ua/remote/dispatcher/state_contracting_view/8442469" TargetMode="External"/>
  <ns0:Relationship Id="rId1592" Type="http://schemas.openxmlformats.org/officeDocument/2006/relationships/hyperlink" Target="https://my.zakupki.prom.ua/remote/dispatcher/state_purchase_view/30682702" TargetMode="External"/>
  <ns0:Relationship Id="rId1593" Type="http://schemas.openxmlformats.org/officeDocument/2006/relationships/hyperlink" Target="https://my.zakupki.prom.ua/remote/dispatcher/state_contracting_view/10813931" TargetMode="External"/>
  <ns0:Relationship Id="rId1594" Type="http://schemas.openxmlformats.org/officeDocument/2006/relationships/hyperlink" Target="https://my.zakupki.prom.ua/remote/dispatcher/state_purchase_view/31887163" TargetMode="External"/>
  <ns0:Relationship Id="rId1595" Type="http://schemas.openxmlformats.org/officeDocument/2006/relationships/hyperlink" Target="https://my.zakupki.prom.ua/remote/dispatcher/state_contracting_view/11368080" TargetMode="External"/>
  <ns0:Relationship Id="rId1596" Type="http://schemas.openxmlformats.org/officeDocument/2006/relationships/hyperlink" Target="https://my.zakupki.prom.ua/remote/dispatcher/state_purchase_view/32038631" TargetMode="External"/>
  <ns0:Relationship Id="rId1597" Type="http://schemas.openxmlformats.org/officeDocument/2006/relationships/hyperlink" Target="https://my.zakupki.prom.ua/remote/dispatcher/state_contracting_view/11440310" TargetMode="External"/>
  <ns0:Relationship Id="rId1598" Type="http://schemas.openxmlformats.org/officeDocument/2006/relationships/hyperlink" Target="https://my.zakupki.prom.ua/remote/dispatcher/state_purchase_view/31508514" TargetMode="External"/>
  <ns0:Relationship Id="rId1599" Type="http://schemas.openxmlformats.org/officeDocument/2006/relationships/hyperlink" Target="https://my.zakupki.prom.ua/remote/dispatcher/state_contracting_view/11194417" TargetMode="External"/>
  <ns0:Relationship Id="rId1600" Type="http://schemas.openxmlformats.org/officeDocument/2006/relationships/hyperlink" Target="https://my.zakupki.prom.ua/remote/dispatcher/state_purchase_view/25057731" TargetMode="External"/>
  <ns0:Relationship Id="rId1601" Type="http://schemas.openxmlformats.org/officeDocument/2006/relationships/hyperlink" Target="https://my.zakupki.prom.ua/remote/dispatcher/state_contracting_view/8164714" TargetMode="External"/>
  <ns0:Relationship Id="rId1602" Type="http://schemas.openxmlformats.org/officeDocument/2006/relationships/hyperlink" Target="https://my.zakupki.prom.ua/remote/dispatcher/state_purchase_view/23591172" TargetMode="External"/>
  <ns0:Relationship Id="rId1603" Type="http://schemas.openxmlformats.org/officeDocument/2006/relationships/hyperlink" Target="https://my.zakupki.prom.ua/remote/dispatcher/state_contracting_view/7478454" TargetMode="External"/>
  <ns0:Relationship Id="rId1604" Type="http://schemas.openxmlformats.org/officeDocument/2006/relationships/hyperlink" Target="https://my.zakupki.prom.ua/remote/dispatcher/state_purchase_view/24881756" TargetMode="External"/>
  <ns0:Relationship Id="rId1605" Type="http://schemas.openxmlformats.org/officeDocument/2006/relationships/hyperlink" Target="https://my.zakupki.prom.ua/remote/dispatcher/state_contracting_view/8080586" TargetMode="External"/>
  <ns0:Relationship Id="rId1606" Type="http://schemas.openxmlformats.org/officeDocument/2006/relationships/hyperlink" Target="https://my.zakupki.prom.ua/remote/dispatcher/state_purchase_view/29429894" TargetMode="External"/>
  <ns0:Relationship Id="rId1607" Type="http://schemas.openxmlformats.org/officeDocument/2006/relationships/hyperlink" Target="https://my.zakupki.prom.ua/remote/dispatcher/state_contracting_view/10236716" TargetMode="External"/>
  <ns0:Relationship Id="rId1608" Type="http://schemas.openxmlformats.org/officeDocument/2006/relationships/hyperlink" Target="https://my.zakupki.prom.ua/remote/dispatcher/state_purchase_view/26524192" TargetMode="External"/>
  <ns0:Relationship Id="rId1609" Type="http://schemas.openxmlformats.org/officeDocument/2006/relationships/hyperlink" Target="https://my.zakupki.prom.ua/remote/dispatcher/state_contracting_view/8866190" TargetMode="External"/>
  <ns0:Relationship Id="rId1610" Type="http://schemas.openxmlformats.org/officeDocument/2006/relationships/hyperlink" Target="https://my.zakupki.prom.ua/remote/dispatcher/state_purchase_view/26257470" TargetMode="External"/>
  <ns0:Relationship Id="rId1611" Type="http://schemas.openxmlformats.org/officeDocument/2006/relationships/hyperlink" Target="https://my.zakupki.prom.ua/remote/dispatcher/state_contracting_view/8739138" TargetMode="External"/>
  <ns0:Relationship Id="rId1612" Type="http://schemas.openxmlformats.org/officeDocument/2006/relationships/hyperlink" Target="https://my.zakupki.prom.ua/remote/dispatcher/state_purchase_view/26101604" TargetMode="External"/>
  <ns0:Relationship Id="rId1613" Type="http://schemas.openxmlformats.org/officeDocument/2006/relationships/hyperlink" Target="https://my.zakupki.prom.ua/remote/dispatcher/state_contracting_view/8661940" TargetMode="External"/>
  <ns0:Relationship Id="rId1614" Type="http://schemas.openxmlformats.org/officeDocument/2006/relationships/hyperlink" Target="https://my.zakupki.prom.ua/remote/dispatcher/state_purchase_view/25840169" TargetMode="External"/>
  <ns0:Relationship Id="rId1615" Type="http://schemas.openxmlformats.org/officeDocument/2006/relationships/hyperlink" Target="https://my.zakupki.prom.ua/remote/dispatcher/state_contracting_view/8784939" TargetMode="External"/>
  <ns0:Relationship Id="rId1616" Type="http://schemas.openxmlformats.org/officeDocument/2006/relationships/hyperlink" Target="https://my.zakupki.prom.ua/remote/dispatcher/state_purchase_view/25730212" TargetMode="External"/>
  <ns0:Relationship Id="rId1617" Type="http://schemas.openxmlformats.org/officeDocument/2006/relationships/hyperlink" Target="https://my.zakupki.prom.ua/remote/dispatcher/state_contracting_view/8488875" TargetMode="External"/>
  <ns0:Relationship Id="rId1618" Type="http://schemas.openxmlformats.org/officeDocument/2006/relationships/hyperlink" Target="https://my.zakupki.prom.ua/remote/dispatcher/state_purchase_view/25878649" TargetMode="External"/>
  <ns0:Relationship Id="rId1619" Type="http://schemas.openxmlformats.org/officeDocument/2006/relationships/hyperlink" Target="https://my.zakupki.prom.ua/remote/dispatcher/state_contracting_view/8555339" TargetMode="External"/>
  <ns0:Relationship Id="rId1620" Type="http://schemas.openxmlformats.org/officeDocument/2006/relationships/hyperlink" Target="https://my.zakupki.prom.ua/remote/dispatcher/state_purchase_view/26213906" TargetMode="External"/>
  <ns0:Relationship Id="rId1621" Type="http://schemas.openxmlformats.org/officeDocument/2006/relationships/hyperlink" Target="https://my.zakupki.prom.ua/remote/dispatcher/state_contracting_view/8717215" TargetMode="External"/>
  <ns0:Relationship Id="rId1622" Type="http://schemas.openxmlformats.org/officeDocument/2006/relationships/hyperlink" Target="https://my.zakupki.prom.ua/remote/dispatcher/state_purchase_view/25256245" TargetMode="External"/>
  <ns0:Relationship Id="rId1623" Type="http://schemas.openxmlformats.org/officeDocument/2006/relationships/hyperlink" Target="https://my.zakupki.prom.ua/remote/dispatcher/state_contracting_view/8278278" TargetMode="External"/>
  <ns0:Relationship Id="rId1624" Type="http://schemas.openxmlformats.org/officeDocument/2006/relationships/hyperlink" Target="https://my.zakupki.prom.ua/remote/dispatcher/state_purchase_view/26454479" TargetMode="External"/>
  <ns0:Relationship Id="rId1625" Type="http://schemas.openxmlformats.org/officeDocument/2006/relationships/hyperlink" Target="https://my.zakupki.prom.ua/remote/dispatcher/state_contracting_view/8837494" TargetMode="External"/>
  <ns0:Relationship Id="rId1626" Type="http://schemas.openxmlformats.org/officeDocument/2006/relationships/hyperlink" Target="https://my.zakupki.prom.ua/remote/dispatcher/state_purchase_view/26418067" TargetMode="External"/>
  <ns0:Relationship Id="rId1627" Type="http://schemas.openxmlformats.org/officeDocument/2006/relationships/hyperlink" Target="https://my.zakupki.prom.ua/remote/dispatcher/state_contracting_view/8815752" TargetMode="External"/>
  <ns0:Relationship Id="rId1628" Type="http://schemas.openxmlformats.org/officeDocument/2006/relationships/hyperlink" Target="https://my.zakupki.prom.ua/remote/dispatcher/state_purchase_view/25546284" TargetMode="External"/>
  <ns0:Relationship Id="rId1629" Type="http://schemas.openxmlformats.org/officeDocument/2006/relationships/hyperlink" Target="https://my.zakupki.prom.ua/remote/dispatcher/state_contracting_view/8397460" TargetMode="External"/>
  <ns0:Relationship Id="rId1630" Type="http://schemas.openxmlformats.org/officeDocument/2006/relationships/hyperlink" Target="https://my.zakupki.prom.ua/remote/dispatcher/state_purchase_view/25486157" TargetMode="External"/>
  <ns0:Relationship Id="rId1631" Type="http://schemas.openxmlformats.org/officeDocument/2006/relationships/hyperlink" Target="https://my.zakupki.prom.ua/remote/dispatcher/state_contracting_view/8371263" TargetMode="External"/>
  <ns0:Relationship Id="rId1632" Type="http://schemas.openxmlformats.org/officeDocument/2006/relationships/hyperlink" Target="https://my.zakupki.prom.ua/remote/dispatcher/state_purchase_view/27814362" TargetMode="External"/>
  <ns0:Relationship Id="rId1633" Type="http://schemas.openxmlformats.org/officeDocument/2006/relationships/hyperlink" Target="https://my.zakupki.prom.ua/remote/dispatcher/state_contracting_view/9478921" TargetMode="External"/>
  <ns0:Relationship Id="rId1634" Type="http://schemas.openxmlformats.org/officeDocument/2006/relationships/hyperlink" Target="https://my.zakupki.prom.ua/remote/dispatcher/state_purchase_view/29086068" TargetMode="External"/>
  <ns0:Relationship Id="rId1635" Type="http://schemas.openxmlformats.org/officeDocument/2006/relationships/hyperlink" Target="https://my.zakupki.prom.ua/remote/dispatcher/state_contracting_view/10075355" TargetMode="External"/>
  <ns0:Relationship Id="rId1636" Type="http://schemas.openxmlformats.org/officeDocument/2006/relationships/hyperlink" Target="https://my.zakupki.prom.ua/remote/dispatcher/state_purchase_view/28545795" TargetMode="External"/>
  <ns0:Relationship Id="rId1637" Type="http://schemas.openxmlformats.org/officeDocument/2006/relationships/hyperlink" Target="https://my.zakupki.prom.ua/remote/dispatcher/state_contracting_view/9824677" TargetMode="External"/>
  <ns0:Relationship Id="rId1638" Type="http://schemas.openxmlformats.org/officeDocument/2006/relationships/hyperlink" Target="https://my.zakupki.prom.ua/remote/dispatcher/state_purchase_view/27733942" TargetMode="External"/>
  <ns0:Relationship Id="rId1639" Type="http://schemas.openxmlformats.org/officeDocument/2006/relationships/hyperlink" Target="https://my.zakupki.prom.ua/remote/dispatcher/state_contracting_view/9440353" TargetMode="External"/>
  <ns0:Relationship Id="rId1640" Type="http://schemas.openxmlformats.org/officeDocument/2006/relationships/hyperlink" Target="https://my.zakupki.prom.ua/remote/dispatcher/state_purchase_view/31886649" TargetMode="External"/>
  <ns0:Relationship Id="rId1641" Type="http://schemas.openxmlformats.org/officeDocument/2006/relationships/hyperlink" Target="https://my.zakupki.prom.ua/remote/dispatcher/state_contracting_view/11368323" TargetMode="External"/>
  <ns0:Relationship Id="rId1642" Type="http://schemas.openxmlformats.org/officeDocument/2006/relationships/hyperlink" Target="https://my.zakupki.prom.ua/remote/dispatcher/state_purchase_view/31885767" TargetMode="External"/>
  <ns0:Relationship Id="rId1643" Type="http://schemas.openxmlformats.org/officeDocument/2006/relationships/hyperlink" Target="https://my.zakupki.prom.ua/remote/dispatcher/state_contracting_view/11367630" TargetMode="External"/>
  <ns0:Relationship Id="rId1644" Type="http://schemas.openxmlformats.org/officeDocument/2006/relationships/hyperlink" Target="https://my.zakupki.prom.ua/remote/dispatcher/state_purchase_view/33301339" TargetMode="External"/>
  <ns0:Relationship Id="rId1645" Type="http://schemas.openxmlformats.org/officeDocument/2006/relationships/hyperlink" Target="https://my.zakupki.prom.ua/remote/dispatcher/state_contracting_view/12029611" TargetMode="External"/>
  <ns0:Relationship Id="rId1646" Type="http://schemas.openxmlformats.org/officeDocument/2006/relationships/hyperlink" Target="https://my.zakupki.prom.ua/remote/dispatcher/state_purchase_view/30052407" TargetMode="External"/>
  <ns0:Relationship Id="rId1647" Type="http://schemas.openxmlformats.org/officeDocument/2006/relationships/hyperlink" Target="https://my.zakupki.prom.ua/remote/dispatcher/state_contracting_view/10544095" TargetMode="External"/>
  <ns0:Relationship Id="rId1648" Type="http://schemas.openxmlformats.org/officeDocument/2006/relationships/hyperlink" Target="https://my.zakupki.prom.ua/remote/dispatcher/state_purchase_view/29987049" TargetMode="External"/>
  <ns0:Relationship Id="rId1649" Type="http://schemas.openxmlformats.org/officeDocument/2006/relationships/hyperlink" Target="https://my.zakupki.prom.ua/remote/dispatcher/state_contracting_view/10494338" TargetMode="External"/>
  <ns0:Relationship Id="rId1650" Type="http://schemas.openxmlformats.org/officeDocument/2006/relationships/hyperlink" Target="https://my.zakupki.prom.ua/remote/dispatcher/state_purchase_view/27779282" TargetMode="External"/>
  <ns0:Relationship Id="rId1651" Type="http://schemas.openxmlformats.org/officeDocument/2006/relationships/hyperlink" Target="https://my.zakupki.prom.ua/remote/dispatcher/state_contracting_view/9464356" TargetMode="External"/>
  <ns0:Relationship Id="rId1652" Type="http://schemas.openxmlformats.org/officeDocument/2006/relationships/hyperlink" Target="https://my.zakupki.prom.ua/remote/dispatcher/state_purchase_view/27777315" TargetMode="External"/>
  <ns0:Relationship Id="rId1653" Type="http://schemas.openxmlformats.org/officeDocument/2006/relationships/hyperlink" Target="https://my.zakupki.prom.ua/remote/dispatcher/state_contracting_view/9464957" TargetMode="External"/>
  <ns0:Relationship Id="rId1654" Type="http://schemas.openxmlformats.org/officeDocument/2006/relationships/hyperlink" Target="https://my.zakupki.prom.ua/remote/dispatcher/state_purchase_view/27776583" TargetMode="External"/>
  <ns0:Relationship Id="rId1655" Type="http://schemas.openxmlformats.org/officeDocument/2006/relationships/hyperlink" Target="https://my.zakupki.prom.ua/remote/dispatcher/state_contracting_view/9465309" TargetMode="External"/>
  <ns0:Relationship Id="rId1656" Type="http://schemas.openxmlformats.org/officeDocument/2006/relationships/hyperlink" Target="https://my.zakupki.prom.ua/remote/dispatcher/state_purchase_view/27735706" TargetMode="External"/>
  <ns0:Relationship Id="rId1657" Type="http://schemas.openxmlformats.org/officeDocument/2006/relationships/hyperlink" Target="https://my.zakupki.prom.ua/remote/dispatcher/state_contracting_view/9440803" TargetMode="External"/>
  <ns0:Relationship Id="rId1658" Type="http://schemas.openxmlformats.org/officeDocument/2006/relationships/hyperlink" Target="https://my.zakupki.prom.ua/remote/dispatcher/state_purchase_view/24255630" TargetMode="External"/>
  <ns0:Relationship Id="rId1659" Type="http://schemas.openxmlformats.org/officeDocument/2006/relationships/hyperlink" Target="https://my.zakupki.prom.ua/remote/dispatcher/state_contracting_view/7785288" TargetMode="External"/>
  <ns0:Relationship Id="rId1660" Type="http://schemas.openxmlformats.org/officeDocument/2006/relationships/hyperlink" Target="https://my.zakupki.prom.ua/remote/dispatcher/state_purchase_view/28569960" TargetMode="External"/>
  <ns0:Relationship Id="rId1661" Type="http://schemas.openxmlformats.org/officeDocument/2006/relationships/hyperlink" Target="https://my.zakupki.prom.ua/remote/dispatcher/state_contracting_view/9835891" TargetMode="External"/>
  <ns0:Relationship Id="rId1662" Type="http://schemas.openxmlformats.org/officeDocument/2006/relationships/hyperlink" Target="https://my.zakupki.prom.ua/remote/dispatcher/state_purchase_view/27775964" TargetMode="External"/>
  <ns0:Relationship Id="rId1663" Type="http://schemas.openxmlformats.org/officeDocument/2006/relationships/hyperlink" Target="https://my.zakupki.prom.ua/remote/dispatcher/state_contracting_view/9465105" TargetMode="External"/>
  <ns0:Relationship Id="rId1664" Type="http://schemas.openxmlformats.org/officeDocument/2006/relationships/hyperlink" Target="https://my.zakupki.prom.ua/remote/dispatcher/state_purchase_view/23362368" TargetMode="External"/>
  <ns0:Relationship Id="rId1665" Type="http://schemas.openxmlformats.org/officeDocument/2006/relationships/hyperlink" Target="https://my.zakupki.prom.ua/remote/dispatcher/state_contracting_view/7379628" TargetMode="External"/>
  <ns0:Relationship Id="rId1666" Type="http://schemas.openxmlformats.org/officeDocument/2006/relationships/hyperlink" Target="https://my.zakupki.prom.ua/remote/dispatcher/state_purchase_view/22931718" TargetMode="External"/>
  <ns0:Relationship Id="rId1667" Type="http://schemas.openxmlformats.org/officeDocument/2006/relationships/hyperlink" Target="https://my.zakupki.prom.ua/remote/dispatcher/state_contracting_view/7213922" TargetMode="External"/>
  <ns0:Relationship Id="rId1668" Type="http://schemas.openxmlformats.org/officeDocument/2006/relationships/hyperlink" Target="https://my.zakupki.prom.ua/remote/dispatcher/state_purchase_view/22930528" TargetMode="External"/>
  <ns0:Relationship Id="rId1669" Type="http://schemas.openxmlformats.org/officeDocument/2006/relationships/hyperlink" Target="https://my.zakupki.prom.ua/remote/dispatcher/state_contracting_view/7213433" TargetMode="External"/>
  <ns0:Relationship Id="rId1670" Type="http://schemas.openxmlformats.org/officeDocument/2006/relationships/hyperlink" Target="https://my.zakupki.prom.ua/remote/dispatcher/state_purchase_view/24352410" TargetMode="External"/>
  <ns0:Relationship Id="rId1671" Type="http://schemas.openxmlformats.org/officeDocument/2006/relationships/hyperlink" Target="https://my.zakupki.prom.ua/remote/dispatcher/state_contracting_view/7827835" TargetMode="External"/>
  <ns0:Relationship Id="rId1672" Type="http://schemas.openxmlformats.org/officeDocument/2006/relationships/hyperlink" Target="https://my.zakupki.prom.ua/remote/dispatcher/state_purchase_view/24056286" TargetMode="External"/>
  <ns0:Relationship Id="rId1673" Type="http://schemas.openxmlformats.org/officeDocument/2006/relationships/hyperlink" Target="https://my.zakupki.prom.ua/remote/dispatcher/state_contracting_view/7688988" TargetMode="External"/>
  <ns0:Relationship Id="rId1674" Type="http://schemas.openxmlformats.org/officeDocument/2006/relationships/hyperlink" Target="https://my.zakupki.prom.ua/remote/dispatcher/state_purchase_view/25062505" TargetMode="External"/>
  <ns0:Relationship Id="rId1675" Type="http://schemas.openxmlformats.org/officeDocument/2006/relationships/hyperlink" Target="https://my.zakupki.prom.ua/remote/dispatcher/state_contracting_view/8166768" TargetMode="External"/>
  <ns0:Relationship Id="rId1676" Type="http://schemas.openxmlformats.org/officeDocument/2006/relationships/hyperlink" Target="https://my.zakupki.prom.ua/remote/dispatcher/state_purchase_view/25020739" TargetMode="External"/>
  <ns0:Relationship Id="rId1677" Type="http://schemas.openxmlformats.org/officeDocument/2006/relationships/hyperlink" Target="https://my.zakupki.prom.ua/remote/dispatcher/state_contracting_view/8147239" TargetMode="External"/>
  <ns0:Relationship Id="rId1678" Type="http://schemas.openxmlformats.org/officeDocument/2006/relationships/hyperlink" Target="https://my.zakupki.prom.ua/remote/dispatcher/state_purchase_view/26116129" TargetMode="External"/>
  <ns0:Relationship Id="rId1679" Type="http://schemas.openxmlformats.org/officeDocument/2006/relationships/hyperlink" Target="https://my.zakupki.prom.ua/remote/dispatcher/state_contracting_view/8675778" TargetMode="External"/>
  <ns0:Relationship Id="rId1680" Type="http://schemas.openxmlformats.org/officeDocument/2006/relationships/hyperlink" Target="https://my.zakupki.prom.ua/remote/dispatcher/state_purchase_view/32579332" TargetMode="External"/>
  <ns0:Relationship Id="rId1681" Type="http://schemas.openxmlformats.org/officeDocument/2006/relationships/hyperlink" Target="https://my.zakupki.prom.ua/remote/dispatcher/state_contracting_view/11686653" TargetMode="External"/>
  <ns0:Relationship Id="rId1682" Type="http://schemas.openxmlformats.org/officeDocument/2006/relationships/hyperlink" Target="https://my.zakupki.prom.ua/remote/dispatcher/state_purchase_view/24717056" TargetMode="External"/>
  <ns0:Relationship Id="rId1683" Type="http://schemas.openxmlformats.org/officeDocument/2006/relationships/hyperlink" Target="https://my.zakupki.prom.ua/remote/dispatcher/state_contracting_view/8072134" TargetMode="External"/>
  <ns0:Relationship Id="rId1684" Type="http://schemas.openxmlformats.org/officeDocument/2006/relationships/hyperlink" Target="https://my.zakupki.prom.ua/remote/dispatcher/state_purchase_view/24579563" TargetMode="External"/>
  <ns0:Relationship Id="rId1685" Type="http://schemas.openxmlformats.org/officeDocument/2006/relationships/hyperlink" Target="https://my.zakupki.prom.ua/remote/dispatcher/state_contracting_view/7941265" TargetMode="External"/>
  <ns0:Relationship Id="rId1686" Type="http://schemas.openxmlformats.org/officeDocument/2006/relationships/hyperlink" Target="https://my.zakupki.prom.ua/remote/dispatcher/state_purchase_view/26258544" TargetMode="External"/>
  <ns0:Relationship Id="rId1687" Type="http://schemas.openxmlformats.org/officeDocument/2006/relationships/hyperlink" Target="https://my.zakupki.prom.ua/remote/dispatcher/state_contracting_view/8738790" TargetMode="External"/>
  <ns0:Relationship Id="rId1688" Type="http://schemas.openxmlformats.org/officeDocument/2006/relationships/hyperlink" Target="https://my.zakupki.prom.ua/remote/dispatcher/state_purchase_view/25630984" TargetMode="External"/>
  <ns0:Relationship Id="rId1689" Type="http://schemas.openxmlformats.org/officeDocument/2006/relationships/hyperlink" Target="https://my.zakupki.prom.ua/remote/dispatcher/state_contracting_view/8442715" TargetMode="External"/>
  <ns0:Relationship Id="rId1690" Type="http://schemas.openxmlformats.org/officeDocument/2006/relationships/hyperlink" Target="https://my.zakupki.prom.ua/remote/dispatcher/state_purchase_view/25635050" TargetMode="External"/>
  <ns0:Relationship Id="rId1691" Type="http://schemas.openxmlformats.org/officeDocument/2006/relationships/hyperlink" Target="https://my.zakupki.prom.ua/remote/dispatcher/state_contracting_view/8443274" TargetMode="External"/>
  <ns0:Relationship Id="rId1692" Type="http://schemas.openxmlformats.org/officeDocument/2006/relationships/hyperlink" Target="https://my.zakupki.prom.ua/remote/dispatcher/state_purchase_view/25516893" TargetMode="External"/>
  <ns0:Relationship Id="rId1693" Type="http://schemas.openxmlformats.org/officeDocument/2006/relationships/hyperlink" Target="https://my.zakupki.prom.ua/remote/dispatcher/state_contracting_view/8382758" TargetMode="External"/>
  <ns0:Relationship Id="rId1694" Type="http://schemas.openxmlformats.org/officeDocument/2006/relationships/hyperlink" Target="https://my.zakupki.prom.ua/remote/dispatcher/state_purchase_view/25514970" TargetMode="External"/>
  <ns0:Relationship Id="rId1695" Type="http://schemas.openxmlformats.org/officeDocument/2006/relationships/hyperlink" Target="https://my.zakupki.prom.ua/remote/dispatcher/state_contracting_view/8382138" TargetMode="External"/>
  <ns0:Relationship Id="rId1696" Type="http://schemas.openxmlformats.org/officeDocument/2006/relationships/hyperlink" Target="https://my.zakupki.prom.ua/remote/dispatcher/state_purchase_view/26546958" TargetMode="External"/>
  <ns0:Relationship Id="rId1697" Type="http://schemas.openxmlformats.org/officeDocument/2006/relationships/hyperlink" Target="https://my.zakupki.prom.ua/remote/dispatcher/state_contracting_view/9155213" TargetMode="External"/>
  <ns0:Relationship Id="rId1698" Type="http://schemas.openxmlformats.org/officeDocument/2006/relationships/hyperlink" Target="https://my.zakupki.prom.ua/remote/dispatcher/state_purchase_view/26355836" TargetMode="External"/>
  <ns0:Relationship Id="rId1699" Type="http://schemas.openxmlformats.org/officeDocument/2006/relationships/hyperlink" Target="https://my.zakupki.prom.ua/remote/dispatcher/state_contracting_view/8785242" TargetMode="External"/>
  <ns0:Relationship Id="rId1700" Type="http://schemas.openxmlformats.org/officeDocument/2006/relationships/hyperlink" Target="https://my.zakupki.prom.ua/remote/dispatcher/state_purchase_view/26335238" TargetMode="External"/>
  <ns0:Relationship Id="rId1701" Type="http://schemas.openxmlformats.org/officeDocument/2006/relationships/hyperlink" Target="https://my.zakupki.prom.ua/remote/dispatcher/state_contracting_view/8777620" TargetMode="External"/>
  <ns0:Relationship Id="rId1702" Type="http://schemas.openxmlformats.org/officeDocument/2006/relationships/hyperlink" Target="https://my.zakupki.prom.ua/remote/dispatcher/state_purchase_view/25539835" TargetMode="External"/>
  <ns0:Relationship Id="rId1703" Type="http://schemas.openxmlformats.org/officeDocument/2006/relationships/hyperlink" Target="https://my.zakupki.prom.ua/remote/dispatcher/state_contracting_view/8791902" TargetMode="External"/>
  <ns0:Relationship Id="rId1704" Type="http://schemas.openxmlformats.org/officeDocument/2006/relationships/hyperlink" Target="https://my.zakupki.prom.ua/remote/dispatcher/state_purchase_view/24006477" TargetMode="External"/>
  <ns0:Relationship Id="rId1705" Type="http://schemas.openxmlformats.org/officeDocument/2006/relationships/hyperlink" Target="https://my.zakupki.prom.ua/remote/dispatcher/state_contracting_view/7665667" TargetMode="External"/>
  <ns0:Relationship Id="rId1706" Type="http://schemas.openxmlformats.org/officeDocument/2006/relationships/hyperlink" Target="https://my.zakupki.prom.ua/remote/dispatcher/state_purchase_view/23997650" TargetMode="External"/>
  <ns0:Relationship Id="rId1707" Type="http://schemas.openxmlformats.org/officeDocument/2006/relationships/hyperlink" Target="https://my.zakupki.prom.ua/remote/dispatcher/state_contracting_view/7665082" TargetMode="External"/>
  <ns0:Relationship Id="rId1708" Type="http://schemas.openxmlformats.org/officeDocument/2006/relationships/hyperlink" Target="https://my.zakupki.prom.ua/remote/dispatcher/state_purchase_view/23996253" TargetMode="External"/>
  <ns0:Relationship Id="rId1709" Type="http://schemas.openxmlformats.org/officeDocument/2006/relationships/hyperlink" Target="https://my.zakupki.prom.ua/remote/dispatcher/state_contracting_view/7664646" TargetMode="External"/>
  <ns0:Relationship Id="rId1710" Type="http://schemas.openxmlformats.org/officeDocument/2006/relationships/hyperlink" Target="https://my.zakupki.prom.ua/remote/dispatcher/state_purchase_view/24294389" TargetMode="External"/>
  <ns0:Relationship Id="rId1711" Type="http://schemas.openxmlformats.org/officeDocument/2006/relationships/hyperlink" Target="https://my.zakupki.prom.ua/remote/dispatcher/state_contracting_view/7800586" TargetMode="External"/>
  <ns0:Relationship Id="rId1712" Type="http://schemas.openxmlformats.org/officeDocument/2006/relationships/hyperlink" Target="https://my.zakupki.prom.ua/remote/dispatcher/state_purchase_view/22908852" TargetMode="External"/>
  <ns0:Relationship Id="rId1713" Type="http://schemas.openxmlformats.org/officeDocument/2006/relationships/hyperlink" Target="https://my.zakupki.prom.ua/remote/dispatcher/state_contracting_view/7207750" TargetMode="External"/>
  <ns0:Relationship Id="rId1714" Type="http://schemas.openxmlformats.org/officeDocument/2006/relationships/hyperlink" Target="https://my.zakupki.prom.ua/remote/dispatcher/state_purchase_view/23801592" TargetMode="External"/>
  <ns0:Relationship Id="rId1715" Type="http://schemas.openxmlformats.org/officeDocument/2006/relationships/hyperlink" Target="https://my.zakupki.prom.ua/remote/dispatcher/state_contracting_view/7572327" TargetMode="External"/>
  <ns0:Relationship Id="rId1716" Type="http://schemas.openxmlformats.org/officeDocument/2006/relationships/hyperlink" Target="https://my.zakupki.prom.ua/remote/dispatcher/state_purchase_view/25399539" TargetMode="External"/>
  <ns0:Relationship Id="rId1717" Type="http://schemas.openxmlformats.org/officeDocument/2006/relationships/hyperlink" Target="https://my.zakupki.prom.ua/remote/dispatcher/state_contracting_view/8329752" TargetMode="External"/>
  <ns0:Relationship Id="rId1718" Type="http://schemas.openxmlformats.org/officeDocument/2006/relationships/hyperlink" Target="https://my.zakupki.prom.ua/remote/dispatcher/state_purchase_view/25873318" TargetMode="External"/>
  <ns0:Relationship Id="rId1719" Type="http://schemas.openxmlformats.org/officeDocument/2006/relationships/hyperlink" Target="https://my.zakupki.prom.ua/remote/dispatcher/state_contracting_view/8552821" TargetMode="External"/>
  <ns0:Relationship Id="rId1720" Type="http://schemas.openxmlformats.org/officeDocument/2006/relationships/hyperlink" Target="https://my.zakupki.prom.ua/remote/dispatcher/state_purchase_view/26250431" TargetMode="External"/>
  <ns0:Relationship Id="rId1721" Type="http://schemas.openxmlformats.org/officeDocument/2006/relationships/hyperlink" Target="https://my.zakupki.prom.ua/remote/dispatcher/state_contracting_view/8735076" TargetMode="External"/>
  <ns0:Relationship Id="rId1722" Type="http://schemas.openxmlformats.org/officeDocument/2006/relationships/hyperlink" Target="https://my.zakupki.prom.ua/remote/dispatcher/state_purchase_view/26237144" TargetMode="External"/>
  <ns0:Relationship Id="rId1723" Type="http://schemas.openxmlformats.org/officeDocument/2006/relationships/hyperlink" Target="https://my.zakupki.prom.ua/remote/dispatcher/state_contracting_view/8733955" TargetMode="External"/>
  <ns0:Relationship Id="rId1724" Type="http://schemas.openxmlformats.org/officeDocument/2006/relationships/hyperlink" Target="https://my.zakupki.prom.ua/remote/dispatcher/state_purchase_view/31194805" TargetMode="External"/>
  <ns0:Relationship Id="rId1725" Type="http://schemas.openxmlformats.org/officeDocument/2006/relationships/hyperlink" Target="https://my.zakupki.prom.ua/remote/dispatcher/state_contracting_view/11050520" TargetMode="External"/>
  <ns0:Relationship Id="rId1726" Type="http://schemas.openxmlformats.org/officeDocument/2006/relationships/hyperlink" Target="https://my.zakupki.prom.ua/remote/dispatcher/state_purchase_view/30965995" TargetMode="External"/>
  <ns0:Relationship Id="rId1727" Type="http://schemas.openxmlformats.org/officeDocument/2006/relationships/hyperlink" Target="https://my.zakupki.prom.ua/remote/dispatcher/state_contracting_view/10946150" TargetMode="External"/>
  <ns0:Relationship Id="rId1728" Type="http://schemas.openxmlformats.org/officeDocument/2006/relationships/hyperlink" Target="https://my.zakupki.prom.ua/remote/dispatcher/state_purchase_view/31541355" TargetMode="External"/>
  <ns0:Relationship Id="rId1729" Type="http://schemas.openxmlformats.org/officeDocument/2006/relationships/hyperlink" Target="https://my.zakupki.prom.ua/remote/dispatcher/state_contracting_view/11210064" TargetMode="External"/>
  <ns0:Relationship Id="rId1730" Type="http://schemas.openxmlformats.org/officeDocument/2006/relationships/hyperlink" Target="https://my.zakupki.prom.ua/remote/dispatcher/state_purchase_view/26569935" TargetMode="External"/>
  <ns0:Relationship Id="rId1731" Type="http://schemas.openxmlformats.org/officeDocument/2006/relationships/hyperlink" Target="https://my.zakupki.prom.ua/remote/dispatcher/state_contracting_view/8894505" TargetMode="External"/>
  <ns0:Relationship Id="rId1732" Type="http://schemas.openxmlformats.org/officeDocument/2006/relationships/hyperlink" Target="https://my.zakupki.prom.ua/remote/dispatcher/state_purchase_view/31783334" TargetMode="External"/>
  <ns0:Relationship Id="rId1733" Type="http://schemas.openxmlformats.org/officeDocument/2006/relationships/hyperlink" Target="https://my.zakupki.prom.ua/remote/dispatcher/state_contracting_view/11320040" TargetMode="External"/>
  <ns0:Relationship Id="rId1734" Type="http://schemas.openxmlformats.org/officeDocument/2006/relationships/hyperlink" Target="https://my.zakupki.prom.ua/remote/dispatcher/state_purchase_view/27186305" TargetMode="External"/>
  <ns0:Relationship Id="rId1735" Type="http://schemas.openxmlformats.org/officeDocument/2006/relationships/hyperlink" Target="https://my.zakupki.prom.ua/remote/dispatcher/state_contracting_view/9179589" TargetMode="External"/>
  <ns0:Relationship Id="rId1736" Type="http://schemas.openxmlformats.org/officeDocument/2006/relationships/hyperlink" Target="https://my.zakupki.prom.ua/remote/dispatcher/state_purchase_view/27185194" TargetMode="External"/>
  <ns0:Relationship Id="rId1737" Type="http://schemas.openxmlformats.org/officeDocument/2006/relationships/hyperlink" Target="https://my.zakupki.prom.ua/remote/dispatcher/state_contracting_view/9179209" TargetMode="External"/>
  <ns0:Relationship Id="rId1738" Type="http://schemas.openxmlformats.org/officeDocument/2006/relationships/hyperlink" Target="https://my.zakupki.prom.ua/remote/dispatcher/state_purchase_view/28487493" TargetMode="External"/>
  <ns0:Relationship Id="rId1739" Type="http://schemas.openxmlformats.org/officeDocument/2006/relationships/hyperlink" Target="https://my.zakupki.prom.ua/remote/dispatcher/state_contracting_view/9796700" TargetMode="External"/>
  <ns0:Relationship Id="rId1740" Type="http://schemas.openxmlformats.org/officeDocument/2006/relationships/hyperlink" Target="https://my.zakupki.prom.ua/remote/dispatcher/state_purchase_view/28487371" TargetMode="External"/>
  <ns0:Relationship Id="rId1741" Type="http://schemas.openxmlformats.org/officeDocument/2006/relationships/hyperlink" Target="https://my.zakupki.prom.ua/remote/dispatcher/state_contracting_view/9796621" TargetMode="External"/>
  <ns0:Relationship Id="rId1742" Type="http://schemas.openxmlformats.org/officeDocument/2006/relationships/hyperlink" Target="https://my.zakupki.prom.ua/remote/dispatcher/state_purchase_view/27172195" TargetMode="External"/>
  <ns0:Relationship Id="rId1743" Type="http://schemas.openxmlformats.org/officeDocument/2006/relationships/hyperlink" Target="https://my.zakupki.prom.ua/remote/dispatcher/state_contracting_view/9198053" TargetMode="External"/>
  <ns0:Relationship Id="rId1744" Type="http://schemas.openxmlformats.org/officeDocument/2006/relationships/hyperlink" Target="https://my.zakupki.prom.ua/remote/dispatcher/state_purchase_view/27738714" TargetMode="External"/>
  <ns0:Relationship Id="rId1745" Type="http://schemas.openxmlformats.org/officeDocument/2006/relationships/hyperlink" Target="https://my.zakupki.prom.ua/remote/dispatcher/state_contracting_view/9496351" TargetMode="External"/>
  <ns0:Relationship Id="rId1746" Type="http://schemas.openxmlformats.org/officeDocument/2006/relationships/hyperlink" Target="https://my.zakupki.prom.ua/remote/dispatcher/state_purchase_view/26620666" TargetMode="External"/>
  <ns0:Relationship Id="rId1747" Type="http://schemas.openxmlformats.org/officeDocument/2006/relationships/hyperlink" Target="https://my.zakupki.prom.ua/remote/dispatcher/state_contracting_view/8925125" TargetMode="External"/>
  <ns0:Relationship Id="rId1748" Type="http://schemas.openxmlformats.org/officeDocument/2006/relationships/hyperlink" Target="https://my.zakupki.prom.ua/remote/dispatcher/state_purchase_view/27858686" TargetMode="External"/>
  <ns0:Relationship Id="rId1749" Type="http://schemas.openxmlformats.org/officeDocument/2006/relationships/hyperlink" Target="https://my.zakupki.prom.ua/remote/dispatcher/state_contracting_view/9500197" TargetMode="External"/>
  <ns0:Relationship Id="rId1750" Type="http://schemas.openxmlformats.org/officeDocument/2006/relationships/hyperlink" Target="https://my.zakupki.prom.ua/remote/dispatcher/state_purchase_view/27857947" TargetMode="External"/>
  <ns0:Relationship Id="rId1751" Type="http://schemas.openxmlformats.org/officeDocument/2006/relationships/hyperlink" Target="https://my.zakupki.prom.ua/remote/dispatcher/state_contracting_view/9499874" TargetMode="External"/>
  <ns0:Relationship Id="rId1752" Type="http://schemas.openxmlformats.org/officeDocument/2006/relationships/hyperlink" Target="https://my.zakupki.prom.ua/remote/dispatcher/state_purchase_view/26621404" TargetMode="External"/>
  <ns0:Relationship Id="rId1753" Type="http://schemas.openxmlformats.org/officeDocument/2006/relationships/hyperlink" Target="https://my.zakupki.prom.ua/remote/dispatcher/state_contracting_view/8925496" TargetMode="External"/>
  <ns0:Relationship Id="rId1754" Type="http://schemas.openxmlformats.org/officeDocument/2006/relationships/hyperlink" Target="https://my.zakupki.prom.ua/remote/dispatcher/state_purchase_view/26616169" TargetMode="External"/>
  <ns0:Relationship Id="rId1755" Type="http://schemas.openxmlformats.org/officeDocument/2006/relationships/hyperlink" Target="https://my.zakupki.prom.ua/remote/dispatcher/state_contracting_view/8924147" TargetMode="External"/>
  <ns0:Relationship Id="rId1756" Type="http://schemas.openxmlformats.org/officeDocument/2006/relationships/hyperlink" Target="https://my.zakupki.prom.ua/remote/dispatcher/state_purchase_view/27791312" TargetMode="External"/>
  <ns0:Relationship Id="rId1757" Type="http://schemas.openxmlformats.org/officeDocument/2006/relationships/hyperlink" Target="https://my.zakupki.prom.ua/remote/dispatcher/state_contracting_view/9467686" TargetMode="External"/>
  <ns0:Relationship Id="rId1758" Type="http://schemas.openxmlformats.org/officeDocument/2006/relationships/hyperlink" Target="https://my.zakupki.prom.ua/remote/dispatcher/state_purchase_view/27213493" TargetMode="External"/>
  <ns0:Relationship Id="rId1759" Type="http://schemas.openxmlformats.org/officeDocument/2006/relationships/hyperlink" Target="https://my.zakupki.prom.ua/remote/dispatcher/state_contracting_view/9195053" TargetMode="External"/>
  <ns0:Relationship Id="rId1760" Type="http://schemas.openxmlformats.org/officeDocument/2006/relationships/hyperlink" Target="https://my.zakupki.prom.ua/remote/dispatcher/state_purchase_view/25203333" TargetMode="External"/>
  <ns0:Relationship Id="rId1761" Type="http://schemas.openxmlformats.org/officeDocument/2006/relationships/hyperlink" Target="https://my.zakupki.prom.ua/remote/dispatcher/state_contracting_view/8243570" TargetMode="External"/>
  <ns0:Relationship Id="rId1762" Type="http://schemas.openxmlformats.org/officeDocument/2006/relationships/hyperlink" Target="https://my.zakupki.prom.ua/remote/dispatcher/state_purchase_view/26856783" TargetMode="External"/>
  <ns0:Relationship Id="rId1763" Type="http://schemas.openxmlformats.org/officeDocument/2006/relationships/hyperlink" Target="https://my.zakupki.prom.ua/remote/dispatcher/state_contracting_view/9023955" TargetMode="External"/>
  <ns0:Relationship Id="rId1764" Type="http://schemas.openxmlformats.org/officeDocument/2006/relationships/hyperlink" Target="https://my.zakupki.prom.ua/remote/dispatcher/state_purchase_view/26055228" TargetMode="External"/>
  <ns0:Relationship Id="rId1765" Type="http://schemas.openxmlformats.org/officeDocument/2006/relationships/hyperlink" Target="https://my.zakupki.prom.ua/remote/dispatcher/state_contracting_view/8640087" TargetMode="External"/>
  <ns0:Relationship Id="rId1766" Type="http://schemas.openxmlformats.org/officeDocument/2006/relationships/hyperlink" Target="https://my.zakupki.prom.ua/remote/dispatcher/state_purchase_view/26057856" TargetMode="External"/>
  <ns0:Relationship Id="rId1767" Type="http://schemas.openxmlformats.org/officeDocument/2006/relationships/hyperlink" Target="https://my.zakupki.prom.ua/remote/dispatcher/state_contracting_view/8641641" TargetMode="External"/>
</ns0:Relationships>

</file>

<file path=xl/worksheets/sheet1.xml><?xml version="1.0" encoding="utf-8"?>
<worksheet xmlns="http://schemas.openxmlformats.org/spreadsheetml/2006/main" xmlns:r="http://schemas.openxmlformats.org/officeDocument/2006/relationships">
  <sheetPr>
    <outlinePr summaryBelow="1" summaryRight="1"/>
  </sheetPr>
  <dimension ref="A1:P888"/>
  <sheetViews>
    <sheetView workbookViewId="0">
      <pane ySplit="4" topLeftCell="A5" activePane="bottomLeft" state="frozen"/>
      <selection pane="bottomLeft" activeCell="A1" sqref="A1"/>
    </sheetView>
  </sheetViews>
  <sheetFormatPr defaultRowHeight="15" baseColWidth="10"/>
  <cols>
    <col width="5" min="1" max="1"/>
    <col width="25" min="2" max="2"/>
    <col width="25" min="3" max="3"/>
    <col width="25" min="4" max="4"/>
    <col width="60" min="5" max="5"/>
    <col width="35" min="6" max="6"/>
    <col width="35" min="7" max="7"/>
    <col width="35" min="8" max="8"/>
    <col width="30" min="9" max="9"/>
    <col width="30" min="10" max="10"/>
    <col width="15" min="11" max="11"/>
    <col width="15" min="12" max="12"/>
    <col width="15" min="13" max="13"/>
    <col width="10" min="14" max="14"/>
    <col width="10" min="15" max="15"/>
    <col width="10" min="16" max="16"/>
  </cols>
  <sheetData>
    <row r="1" spans="1:16">
      <c r="A1" t="s" s="1">
        <v>3357</v>
      </c>
    </row>
    <row r="2" spans="1:16">
      <c r="A2" t="s" s="2">
        <v>2115</v>
      </c>
    </row>
    <row r="4" spans="1:16">
      <c r="A4" t="s" s="3">
        <v>3542</v>
      </c>
      <c r="B4" t="s" s="3">
        <v>2119</v>
      </c>
      <c r="C4" t="s" s="3">
        <v>2120</v>
      </c>
      <c r="D4" t="s" s="3">
        <v>1794</v>
      </c>
      <c r="E4" t="s" s="3">
        <v>2118</v>
      </c>
      <c r="F4" t="s" s="3">
        <v>3319</v>
      </c>
      <c r="G4" t="s" s="3">
        <v>3145</v>
      </c>
      <c r="H4" t="s" s="3">
        <v>2196</v>
      </c>
      <c r="I4" t="s" s="3">
        <v>3314</v>
      </c>
      <c r="J4" t="s" s="3">
        <v>3144</v>
      </c>
      <c r="K4" t="s" s="3">
        <v>2116</v>
      </c>
      <c r="L4" t="s" s="3">
        <v>3103</v>
      </c>
      <c r="M4" t="s" s="3">
        <v>3175</v>
      </c>
      <c r="N4" t="s" s="3">
        <v>2168</v>
      </c>
      <c r="O4" t="s" s="3">
        <v>2167</v>
      </c>
      <c r="P4" t="s" s="3">
        <v>3172</v>
      </c>
    </row>
    <row r="5" spans="1:16">
      <c r="A5" t="n" s="4">
        <v>1</v>
      </c>
      <c r="B5" s="2">
        <f>HYPERLINK("https://my.zakupki.prom.ua/remote/dispatcher/state_purchase_view/25252917", "UA-2021-03-26-006369-c")</f>
        <v/>
      </c>
      <c r="C5" t="s" s="2">
        <v>3102</v>
      </c>
      <c r="D5" s="2">
        <f>HYPERLINK("https://my.zakupki.prom.ua/remote/dispatcher/state_contracting_view/8276049", "UA-2021-03-26-006369-c-c1")</f>
        <v/>
      </c>
      <c r="E5" t="s" s="1">
        <v>2104</v>
      </c>
      <c r="F5" t="s" s="1">
        <v>2809</v>
      </c>
      <c r="G5" t="s" s="1">
        <v>2809</v>
      </c>
      <c r="H5" t="s" s="1">
        <v>1049</v>
      </c>
      <c r="I5" t="s" s="1">
        <v>2178</v>
      </c>
      <c r="J5" t="s" s="1">
        <v>3310</v>
      </c>
      <c r="K5" t="s" s="1">
        <v>574</v>
      </c>
      <c r="L5" t="s" s="1">
        <v>3200</v>
      </c>
      <c r="M5" t="n" s="5">
        <v>946.0</v>
      </c>
      <c r="N5" t="n" s="7">
        <v>44281.0</v>
      </c>
      <c r="O5" t="n" s="7">
        <v>44926.0</v>
      </c>
      <c r="P5" t="s" s="1">
        <v>3384</v>
      </c>
    </row>
    <row r="6" spans="1:16">
      <c r="A6" t="n" s="4">
        <v>2</v>
      </c>
      <c r="B6" s="2">
        <f>HYPERLINK("https://my.zakupki.prom.ua/remote/dispatcher/state_purchase_view/25261908", "UA-2021-03-26-009881-c")</f>
        <v/>
      </c>
      <c r="C6" t="s" s="2">
        <v>3102</v>
      </c>
      <c r="D6" s="2">
        <f>HYPERLINK("https://my.zakupki.prom.ua/remote/dispatcher/state_contracting_view/8281988", "UA-2021-03-26-009881-c-c1")</f>
        <v/>
      </c>
      <c r="E6" t="s" s="1">
        <v>997</v>
      </c>
      <c r="F6" t="s" s="1">
        <v>2463</v>
      </c>
      <c r="G6" t="s" s="1">
        <v>2463</v>
      </c>
      <c r="H6" t="s" s="1">
        <v>711</v>
      </c>
      <c r="I6" t="s" s="1">
        <v>2178</v>
      </c>
      <c r="J6" t="s" s="1">
        <v>3112</v>
      </c>
      <c r="K6" t="s" s="1">
        <v>802</v>
      </c>
      <c r="L6" t="s" s="1">
        <v>366</v>
      </c>
      <c r="M6" t="n" s="5">
        <v>385.7</v>
      </c>
      <c r="N6" t="n" s="7">
        <v>44281.0</v>
      </c>
      <c r="O6" t="n" s="7">
        <v>44925.0</v>
      </c>
      <c r="P6" t="s" s="1">
        <v>3384</v>
      </c>
    </row>
    <row r="7" spans="1:16">
      <c r="A7" t="n" s="4">
        <v>3</v>
      </c>
      <c r="B7" s="2">
        <f>HYPERLINK("https://my.zakupki.prom.ua/remote/dispatcher/state_purchase_view/31921397", "UA-2021-11-18-001047-a")</f>
        <v/>
      </c>
      <c r="C7" t="s" s="2">
        <v>3102</v>
      </c>
      <c r="D7" s="2">
        <f>HYPERLINK("https://my.zakupki.prom.ua/remote/dispatcher/state_contracting_view/11384107", "UA-2021-11-18-001047-a-a1")</f>
        <v/>
      </c>
      <c r="E7" t="s" s="1">
        <v>2012</v>
      </c>
      <c r="F7" t="s" s="1">
        <v>2943</v>
      </c>
      <c r="G7" t="s" s="1">
        <v>2943</v>
      </c>
      <c r="H7" t="s" s="1">
        <v>1367</v>
      </c>
      <c r="I7" t="s" s="1">
        <v>2178</v>
      </c>
      <c r="J7" t="s" s="1">
        <v>3237</v>
      </c>
      <c r="K7" t="s" s="1">
        <v>822</v>
      </c>
      <c r="L7" t="s" s="1">
        <v>3107</v>
      </c>
      <c r="M7" t="n" s="5">
        <v>1275.0</v>
      </c>
      <c r="N7" t="n" s="7">
        <v>44517.0</v>
      </c>
      <c r="O7" t="n" s="7">
        <v>44882.0</v>
      </c>
      <c r="P7" t="s" s="1">
        <v>3384</v>
      </c>
    </row>
    <row r="8" spans="1:16">
      <c r="A8" t="n" s="4">
        <v>4</v>
      </c>
      <c r="B8" s="2">
        <f>HYPERLINK("https://my.zakupki.prom.ua/remote/dispatcher/state_purchase_view/23183951", "UA-2021-01-22-011177-b")</f>
        <v/>
      </c>
      <c r="C8" t="s" s="2">
        <v>3102</v>
      </c>
      <c r="D8" s="2">
        <f>HYPERLINK("https://my.zakupki.prom.ua/remote/dispatcher/state_contracting_view/7304650", "UA-2021-01-22-011177-b-b1")</f>
        <v/>
      </c>
      <c r="E8" t="s" s="1">
        <v>1191</v>
      </c>
      <c r="F8" t="s" s="1">
        <v>2844</v>
      </c>
      <c r="G8" t="s" s="1">
        <v>3320</v>
      </c>
      <c r="H8" t="s" s="1">
        <v>1072</v>
      </c>
      <c r="I8" t="s" s="1">
        <v>2178</v>
      </c>
      <c r="J8" t="s" s="1">
        <v>3278</v>
      </c>
      <c r="K8" t="s" s="1">
        <v>734</v>
      </c>
      <c r="L8" t="s" s="1">
        <v>1793</v>
      </c>
      <c r="M8" t="n" s="5">
        <v>6024.0</v>
      </c>
      <c r="N8" t="n" s="7">
        <v>44217.0</v>
      </c>
      <c r="O8" t="n" s="7">
        <v>44561.0</v>
      </c>
      <c r="P8" t="s" s="1">
        <v>3384</v>
      </c>
    </row>
    <row r="9" spans="1:16">
      <c r="A9" t="n" s="4">
        <v>5</v>
      </c>
      <c r="B9" s="2">
        <f>HYPERLINK("https://my.zakupki.prom.ua/remote/dispatcher/state_purchase_view/23048871", "UA-2021-01-19-002089-a")</f>
        <v/>
      </c>
      <c r="C9" t="s" s="2">
        <v>3102</v>
      </c>
      <c r="D9" s="2">
        <f>HYPERLINK("https://my.zakupki.prom.ua/remote/dispatcher/state_contracting_view/7254097", "UA-2021-01-19-002089-a-a1")</f>
        <v/>
      </c>
      <c r="E9" t="s" s="1">
        <v>2113</v>
      </c>
      <c r="F9" t="s" s="1">
        <v>3006</v>
      </c>
      <c r="G9" t="s" s="1">
        <v>3005</v>
      </c>
      <c r="H9" t="s" s="1">
        <v>1575</v>
      </c>
      <c r="I9" t="s" s="1">
        <v>2178</v>
      </c>
      <c r="J9" t="s" s="1">
        <v>3284</v>
      </c>
      <c r="K9" t="s" s="1">
        <v>771</v>
      </c>
      <c r="L9" t="s" s="1">
        <v>3162</v>
      </c>
      <c r="M9" t="n" s="5">
        <v>1485.0</v>
      </c>
      <c r="N9" t="n" s="7">
        <v>44211.0</v>
      </c>
      <c r="O9" t="n" s="7">
        <v>44561.0</v>
      </c>
      <c r="P9" t="s" s="1">
        <v>3384</v>
      </c>
    </row>
    <row r="10" spans="1:16">
      <c r="A10" t="n" s="4">
        <v>6</v>
      </c>
      <c r="B10" s="2">
        <f>HYPERLINK("https://my.zakupki.prom.ua/remote/dispatcher/state_purchase_view/23415330", "UA-2021-01-29-000904-b")</f>
        <v/>
      </c>
      <c r="C10" t="s" s="2">
        <v>3102</v>
      </c>
      <c r="D10" s="2">
        <f>HYPERLINK("https://my.zakupki.prom.ua/remote/dispatcher/state_contracting_view/7402732", "UA-2021-01-29-000904-b-b1")</f>
        <v/>
      </c>
      <c r="E10" t="s" s="1">
        <v>1336</v>
      </c>
      <c r="F10" t="s" s="1">
        <v>2381</v>
      </c>
      <c r="G10" t="s" s="1">
        <v>2381</v>
      </c>
      <c r="H10" t="s" s="1">
        <v>536</v>
      </c>
      <c r="I10" t="s" s="1">
        <v>2178</v>
      </c>
      <c r="J10" t="s" s="1">
        <v>3291</v>
      </c>
      <c r="K10" t="s" s="1">
        <v>901</v>
      </c>
      <c r="L10" t="s" s="1">
        <v>1373</v>
      </c>
      <c r="M10" t="n" s="5">
        <v>50000.0</v>
      </c>
      <c r="N10" t="n" s="7">
        <v>44225.0</v>
      </c>
      <c r="O10" t="n" s="7">
        <v>44561.0</v>
      </c>
      <c r="P10" t="s" s="1">
        <v>3384</v>
      </c>
    </row>
    <row r="11" spans="1:16">
      <c r="A11" t="n" s="4">
        <v>7</v>
      </c>
      <c r="B11" s="2">
        <f>HYPERLINK("https://my.zakupki.prom.ua/remote/dispatcher/state_purchase_view/22935594", "UA-2021-01-13-002598-a")</f>
        <v/>
      </c>
      <c r="C11" t="s" s="2">
        <v>3102</v>
      </c>
      <c r="D11" s="2">
        <f>HYPERLINK("https://my.zakupki.prom.ua/remote/dispatcher/state_contracting_view/7215111", "UA-2021-01-13-002598-a-a1")</f>
        <v/>
      </c>
      <c r="E11" t="s" s="1">
        <v>1864</v>
      </c>
      <c r="F11" t="s" s="1">
        <v>2464</v>
      </c>
      <c r="G11" t="s" s="1">
        <v>2464</v>
      </c>
      <c r="H11" t="s" s="1">
        <v>711</v>
      </c>
      <c r="I11" t="s" s="1">
        <v>2178</v>
      </c>
      <c r="J11" t="s" s="1">
        <v>3112</v>
      </c>
      <c r="K11" t="s" s="1">
        <v>802</v>
      </c>
      <c r="L11" t="s" s="1">
        <v>444</v>
      </c>
      <c r="M11" t="n" s="5">
        <v>143.75</v>
      </c>
      <c r="N11" t="n" s="7">
        <v>44209.0</v>
      </c>
      <c r="O11" t="n" s="7">
        <v>44561.0</v>
      </c>
      <c r="P11" t="s" s="1">
        <v>3384</v>
      </c>
    </row>
    <row r="12" spans="1:16">
      <c r="A12" t="n" s="4">
        <v>8</v>
      </c>
      <c r="B12" s="2">
        <f>HYPERLINK("https://my.zakupki.prom.ua/remote/dispatcher/state_purchase_view/22967055", "UA-2021-01-15-000307-a")</f>
        <v/>
      </c>
      <c r="C12" t="s" s="2">
        <v>3102</v>
      </c>
      <c r="D12" s="2">
        <f>HYPERLINK("https://my.zakupki.prom.ua/remote/dispatcher/state_contracting_view/7225139", "UA-2021-01-15-000307-a-a1")</f>
        <v/>
      </c>
      <c r="E12" t="s" s="1">
        <v>675</v>
      </c>
      <c r="F12" t="s" s="1">
        <v>2517</v>
      </c>
      <c r="G12" t="s" s="1">
        <v>2517</v>
      </c>
      <c r="H12" t="s" s="1">
        <v>759</v>
      </c>
      <c r="I12" t="s" s="1">
        <v>2178</v>
      </c>
      <c r="J12" t="s" s="1">
        <v>3140</v>
      </c>
      <c r="K12" t="s" s="1">
        <v>825</v>
      </c>
      <c r="L12" t="s" s="1">
        <v>903</v>
      </c>
      <c r="M12" t="n" s="5">
        <v>5000.0</v>
      </c>
      <c r="N12" t="n" s="7">
        <v>44210.0</v>
      </c>
      <c r="O12" t="n" s="7">
        <v>44561.0</v>
      </c>
      <c r="P12" t="s" s="1">
        <v>3384</v>
      </c>
    </row>
    <row r="13" spans="1:16">
      <c r="A13" t="n" s="4">
        <v>9</v>
      </c>
      <c r="B13" s="2">
        <f>HYPERLINK("https://my.zakupki.prom.ua/remote/dispatcher/state_purchase_view/22872202", "UA-2021-01-06-000035-c")</f>
        <v/>
      </c>
      <c r="C13" t="s" s="2">
        <v>3102</v>
      </c>
      <c r="D13" s="2">
        <f>HYPERLINK("https://my.zakupki.prom.ua/remote/dispatcher/state_contracting_view/7206548", "UA-2021-01-06-000035-c-c1")</f>
        <v/>
      </c>
      <c r="E13" t="s" s="1">
        <v>1456</v>
      </c>
      <c r="F13" t="s" s="1">
        <v>3100</v>
      </c>
      <c r="G13" t="s" s="1">
        <v>3101</v>
      </c>
      <c r="H13" t="s" s="1">
        <v>97</v>
      </c>
      <c r="I13" t="s" s="1">
        <v>2178</v>
      </c>
      <c r="J13" t="s" s="1">
        <v>3317</v>
      </c>
      <c r="K13" t="s" s="1">
        <v>1045</v>
      </c>
      <c r="L13" t="s" s="1">
        <v>63</v>
      </c>
      <c r="M13" t="n" s="5">
        <v>49146.0</v>
      </c>
      <c r="N13" t="n" s="7">
        <v>44202.0</v>
      </c>
      <c r="O13" t="n" s="7">
        <v>44561.0</v>
      </c>
      <c r="P13" t="s" s="1">
        <v>3384</v>
      </c>
    </row>
    <row r="14" spans="1:16">
      <c r="A14" t="n" s="4">
        <v>10</v>
      </c>
      <c r="B14" s="2">
        <f>HYPERLINK("https://my.zakupki.prom.ua/remote/dispatcher/state_purchase_view/32451151", "UA-2021-12-01-011721-c")</f>
        <v/>
      </c>
      <c r="C14" t="s" s="2">
        <v>3102</v>
      </c>
      <c r="D14" s="2">
        <f>HYPERLINK("https://my.zakupki.prom.ua/remote/dispatcher/state_contracting_view/11627981", "UA-2021-12-01-011721-c-c1")</f>
        <v/>
      </c>
      <c r="E14" t="s" s="1">
        <v>2007</v>
      </c>
      <c r="F14" t="s" s="1">
        <v>3036</v>
      </c>
      <c r="G14" t="s" s="1">
        <v>3036</v>
      </c>
      <c r="H14" t="s" s="1">
        <v>1766</v>
      </c>
      <c r="I14" t="s" s="1">
        <v>2178</v>
      </c>
      <c r="J14" t="s" s="1">
        <v>3250</v>
      </c>
      <c r="K14" t="s" s="1">
        <v>663</v>
      </c>
      <c r="L14" t="s" s="1">
        <v>1622</v>
      </c>
      <c r="M14" t="n" s="5">
        <v>10800.0</v>
      </c>
      <c r="N14" t="n" s="7">
        <v>44531.0</v>
      </c>
      <c r="O14" t="n" s="7">
        <v>44561.0</v>
      </c>
      <c r="P14" t="s" s="1">
        <v>3384</v>
      </c>
    </row>
    <row r="15" spans="1:16">
      <c r="A15" t="n" s="4">
        <v>11</v>
      </c>
      <c r="B15" s="2">
        <f>HYPERLINK("https://my.zakupki.prom.ua/remote/dispatcher/state_purchase_view/31108501", "UA-2021-10-26-002591-b")</f>
        <v/>
      </c>
      <c r="C15" t="s" s="2">
        <v>3102</v>
      </c>
      <c r="D15" s="2">
        <f>HYPERLINK("https://my.zakupki.prom.ua/remote/dispatcher/state_contracting_view/11016412", "UA-2021-10-26-002591-b-b1")</f>
        <v/>
      </c>
      <c r="E15" t="s" s="1">
        <v>1932</v>
      </c>
      <c r="F15" t="s" s="1">
        <v>2988</v>
      </c>
      <c r="G15" t="s" s="1">
        <v>2988</v>
      </c>
      <c r="H15" t="s" s="1">
        <v>1570</v>
      </c>
      <c r="I15" t="s" s="1">
        <v>2178</v>
      </c>
      <c r="J15" t="s" s="1">
        <v>3350</v>
      </c>
      <c r="K15" t="s" s="1">
        <v>27</v>
      </c>
      <c r="L15" t="s" s="1">
        <v>176</v>
      </c>
      <c r="M15" t="n" s="5">
        <v>30000.0</v>
      </c>
      <c r="N15" t="n" s="7">
        <v>44495.0</v>
      </c>
      <c r="O15" t="n" s="7">
        <v>44561.0</v>
      </c>
      <c r="P15" t="s" s="1">
        <v>3384</v>
      </c>
    </row>
    <row r="16" spans="1:16">
      <c r="A16" t="n" s="4">
        <v>12</v>
      </c>
      <c r="B16" s="2">
        <f>HYPERLINK("https://my.zakupki.prom.ua/remote/dispatcher/state_purchase_view/26372999", "UA-2021-05-07-002360-c")</f>
        <v/>
      </c>
      <c r="C16" t="s" s="2">
        <v>3102</v>
      </c>
      <c r="D16" s="2">
        <f>HYPERLINK("https://my.zakupki.prom.ua/remote/dispatcher/state_contracting_view/8794344", "UA-2021-05-07-002360-c-c1")</f>
        <v/>
      </c>
      <c r="E16" t="s" s="1">
        <v>1998</v>
      </c>
      <c r="F16" t="s" s="1">
        <v>2955</v>
      </c>
      <c r="G16" t="s" s="1">
        <v>2955</v>
      </c>
      <c r="H16" t="s" s="1">
        <v>1446</v>
      </c>
      <c r="I16" t="s" s="1">
        <v>2178</v>
      </c>
      <c r="J16" t="s" s="1">
        <v>2166</v>
      </c>
      <c r="K16" t="s" s="1">
        <v>673</v>
      </c>
      <c r="L16" t="s" s="1">
        <v>1171</v>
      </c>
      <c r="M16" t="n" s="5">
        <v>29963.0</v>
      </c>
      <c r="N16" t="n" s="7">
        <v>44323.0</v>
      </c>
      <c r="O16" t="n" s="7">
        <v>44561.0</v>
      </c>
      <c r="P16" t="s" s="1">
        <v>3384</v>
      </c>
    </row>
    <row r="17" spans="1:16">
      <c r="A17" t="n" s="4">
        <v>13</v>
      </c>
      <c r="B17" s="2">
        <f>HYPERLINK("https://my.zakupki.prom.ua/remote/dispatcher/state_purchase_view/24290770", "UA-2021-02-23-003373-b")</f>
        <v/>
      </c>
      <c r="C17" t="s" s="2">
        <v>3102</v>
      </c>
      <c r="D17" s="2">
        <f>HYPERLINK("https://my.zakupki.prom.ua/remote/dispatcher/state_contracting_view/7799228", "UA-2021-02-23-003373-b-b1")</f>
        <v/>
      </c>
      <c r="E17" t="s" s="1">
        <v>2107</v>
      </c>
      <c r="F17" t="s" s="1">
        <v>2691</v>
      </c>
      <c r="G17" t="s" s="1">
        <v>3522</v>
      </c>
      <c r="H17" t="s" s="1">
        <v>774</v>
      </c>
      <c r="I17" t="s" s="1">
        <v>2178</v>
      </c>
      <c r="J17" t="s" s="1">
        <v>3277</v>
      </c>
      <c r="K17" t="s" s="1">
        <v>519</v>
      </c>
      <c r="L17" t="s" s="1">
        <v>174</v>
      </c>
      <c r="M17" t="n" s="5">
        <v>3412.23</v>
      </c>
      <c r="N17" t="n" s="7">
        <v>44249.0</v>
      </c>
      <c r="O17" t="n" s="7">
        <v>44561.0</v>
      </c>
      <c r="P17" t="s" s="1">
        <v>3384</v>
      </c>
    </row>
    <row r="18" spans="1:16">
      <c r="A18" t="n" s="4">
        <v>14</v>
      </c>
      <c r="B18" s="2">
        <f>HYPERLINK("https://my.zakupki.prom.ua/remote/dispatcher/state_purchase_view/24093856", "UA-2021-02-17-003934-a")</f>
        <v/>
      </c>
      <c r="C18" t="s" s="2">
        <v>3102</v>
      </c>
      <c r="D18" s="2">
        <f>HYPERLINK("https://my.zakupki.prom.ua/remote/dispatcher/state_contracting_view/7713176", "UA-2021-02-17-003934-a-a1")</f>
        <v/>
      </c>
      <c r="E18" t="s" s="1">
        <v>1653</v>
      </c>
      <c r="F18" t="s" s="1">
        <v>2992</v>
      </c>
      <c r="G18" t="s" s="1">
        <v>2992</v>
      </c>
      <c r="H18" t="s" s="1">
        <v>1573</v>
      </c>
      <c r="I18" t="s" s="1">
        <v>2178</v>
      </c>
      <c r="J18" t="s" s="1">
        <v>2157</v>
      </c>
      <c r="K18" t="s" s="1">
        <v>435</v>
      </c>
      <c r="L18" t="s" s="1">
        <v>1233</v>
      </c>
      <c r="M18" t="n" s="5">
        <v>1089.42</v>
      </c>
      <c r="N18" t="n" s="7">
        <v>44244.0</v>
      </c>
      <c r="O18" t="n" s="7">
        <v>44561.0</v>
      </c>
      <c r="P18" t="s" s="1">
        <v>3384</v>
      </c>
    </row>
    <row r="19" spans="1:16">
      <c r="A19" t="n" s="4">
        <v>15</v>
      </c>
      <c r="B19" s="2">
        <f>HYPERLINK("https://my.zakupki.prom.ua/remote/dispatcher/state_purchase_view/23996857", "UA-2021-02-15-001081-c")</f>
        <v/>
      </c>
      <c r="C19" t="s" s="2">
        <v>3102</v>
      </c>
      <c r="D19" s="2">
        <f>HYPERLINK("https://my.zakupki.prom.ua/remote/dispatcher/state_contracting_view/7664701", "UA-2021-02-15-001081-c-c1")</f>
        <v/>
      </c>
      <c r="E19" t="s" s="1">
        <v>1105</v>
      </c>
      <c r="F19" t="s" s="1">
        <v>2225</v>
      </c>
      <c r="G19" t="s" s="1">
        <v>2225</v>
      </c>
      <c r="H19" t="s" s="1">
        <v>50</v>
      </c>
      <c r="I19" t="s" s="1">
        <v>2178</v>
      </c>
      <c r="J19" t="s" s="1">
        <v>3356</v>
      </c>
      <c r="K19" t="s" s="1">
        <v>814</v>
      </c>
      <c r="L19" t="s" s="1">
        <v>1753</v>
      </c>
      <c r="M19" t="n" s="5">
        <v>19407.5</v>
      </c>
      <c r="N19" t="n" s="7">
        <v>44237.0</v>
      </c>
      <c r="O19" t="n" s="7">
        <v>44561.0</v>
      </c>
      <c r="P19" t="s" s="1">
        <v>3384</v>
      </c>
    </row>
    <row r="20" spans="1:16">
      <c r="A20" t="n" s="4">
        <v>16</v>
      </c>
      <c r="B20" s="2">
        <f>HYPERLINK("https://my.zakupki.prom.ua/remote/dispatcher/state_purchase_view/33147645", "UA-2021-12-15-012485-c")</f>
        <v/>
      </c>
      <c r="C20" t="s" s="2">
        <v>3102</v>
      </c>
      <c r="D20" s="2">
        <f>HYPERLINK("https://my.zakupki.prom.ua/remote/dispatcher/state_contracting_view/11991375", "UA-2021-12-15-012485-c-c1")</f>
        <v/>
      </c>
      <c r="E20" t="s" s="1">
        <v>400</v>
      </c>
      <c r="F20" t="s" s="1">
        <v>2964</v>
      </c>
      <c r="G20" t="s" s="1">
        <v>2964</v>
      </c>
      <c r="H20" t="s" s="1">
        <v>1450</v>
      </c>
      <c r="I20" t="s" s="1">
        <v>2178</v>
      </c>
      <c r="J20" t="s" s="1">
        <v>2134</v>
      </c>
      <c r="K20" t="s" s="1">
        <v>370</v>
      </c>
      <c r="L20" t="s" s="1">
        <v>17</v>
      </c>
      <c r="M20" t="n" s="5">
        <v>12129.0</v>
      </c>
      <c r="N20" t="n" s="7">
        <v>44545.0</v>
      </c>
      <c r="O20" t="n" s="7">
        <v>44561.0</v>
      </c>
      <c r="P20" t="s" s="1">
        <v>3384</v>
      </c>
    </row>
    <row r="21" spans="1:16">
      <c r="A21" t="n" s="4">
        <v>17</v>
      </c>
      <c r="B21" s="2">
        <f>HYPERLINK("https://my.zakupki.prom.ua/remote/dispatcher/state_purchase_view/28155328", "UA-2021-07-12-006144-c")</f>
        <v/>
      </c>
      <c r="C21" t="s" s="2">
        <v>3102</v>
      </c>
      <c r="D21" s="2">
        <f>HYPERLINK("https://my.zakupki.prom.ua/remote/dispatcher/state_contracting_view/9641799", "UA-2021-07-12-006144-c-c1")</f>
        <v/>
      </c>
      <c r="E21" t="s" s="1">
        <v>1438</v>
      </c>
      <c r="F21" t="s" s="1">
        <v>2944</v>
      </c>
      <c r="G21" t="s" s="1">
        <v>2944</v>
      </c>
      <c r="H21" t="s" s="1">
        <v>1441</v>
      </c>
      <c r="I21" t="s" s="1">
        <v>2178</v>
      </c>
      <c r="J21" t="s" s="1">
        <v>2188</v>
      </c>
      <c r="K21" t="s" s="1">
        <v>53</v>
      </c>
      <c r="L21" t="s" s="1">
        <v>1343</v>
      </c>
      <c r="M21" t="n" s="5">
        <v>15000.0</v>
      </c>
      <c r="N21" t="n" s="7">
        <v>44389.0</v>
      </c>
      <c r="O21" t="n" s="7">
        <v>44561.0</v>
      </c>
      <c r="P21" t="s" s="1">
        <v>3384</v>
      </c>
    </row>
    <row r="22" spans="1:16">
      <c r="A22" t="n" s="4">
        <v>18</v>
      </c>
      <c r="B22" s="2">
        <f>HYPERLINK("https://my.zakupki.prom.ua/remote/dispatcher/state_purchase_view/29150806", "UA-2021-08-19-000784-a")</f>
        <v/>
      </c>
      <c r="C22" t="s" s="2">
        <v>3102</v>
      </c>
      <c r="D22" s="2">
        <f>HYPERLINK("https://my.zakupki.prom.ua/remote/dispatcher/state_contracting_view/10105808", "UA-2021-08-19-000784-a-a1")</f>
        <v/>
      </c>
      <c r="E22" t="s" s="1">
        <v>1291</v>
      </c>
      <c r="F22" t="s" s="1">
        <v>3034</v>
      </c>
      <c r="G22" t="s" s="1">
        <v>3034</v>
      </c>
      <c r="H22" t="s" s="1">
        <v>1758</v>
      </c>
      <c r="I22" t="s" s="1">
        <v>2178</v>
      </c>
      <c r="J22" t="s" s="1">
        <v>3271</v>
      </c>
      <c r="K22" t="s" s="1">
        <v>694</v>
      </c>
      <c r="L22" t="s" s="1">
        <v>412</v>
      </c>
      <c r="M22" t="n" s="5">
        <v>9600.0</v>
      </c>
      <c r="N22" t="n" s="7">
        <v>44427.0</v>
      </c>
      <c r="O22" t="n" s="7">
        <v>44561.0</v>
      </c>
      <c r="P22" t="s" s="1">
        <v>3384</v>
      </c>
    </row>
    <row r="23" spans="1:16">
      <c r="A23" t="n" s="4">
        <v>19</v>
      </c>
      <c r="B23" s="2">
        <f>HYPERLINK("https://my.zakupki.prom.ua/remote/dispatcher/state_purchase_view/28186069", "UA-2021-07-13-004622-c")</f>
        <v/>
      </c>
      <c r="C23" t="s" s="2">
        <v>3102</v>
      </c>
      <c r="D23" s="2">
        <f>HYPERLINK("https://my.zakupki.prom.ua/remote/dispatcher/state_contracting_view/9654247", "UA-2021-07-13-004622-c-c1")</f>
        <v/>
      </c>
      <c r="E23" t="s" s="1">
        <v>1894</v>
      </c>
      <c r="F23" t="s" s="1">
        <v>3031</v>
      </c>
      <c r="G23" t="s" s="1">
        <v>3031</v>
      </c>
      <c r="H23" t="s" s="1">
        <v>1715</v>
      </c>
      <c r="I23" t="s" s="1">
        <v>2178</v>
      </c>
      <c r="J23" t="s" s="1">
        <v>3273</v>
      </c>
      <c r="K23" t="s" s="1">
        <v>886</v>
      </c>
      <c r="L23" t="s" s="1">
        <v>1723</v>
      </c>
      <c r="M23" t="n" s="5">
        <v>25000.0</v>
      </c>
      <c r="N23" t="n" s="7">
        <v>44386.0</v>
      </c>
      <c r="O23" t="n" s="7">
        <v>44561.0</v>
      </c>
      <c r="P23" t="s" s="1">
        <v>3384</v>
      </c>
    </row>
    <row r="24" spans="1:16">
      <c r="A24" t="n" s="4">
        <v>20</v>
      </c>
      <c r="B24" s="2">
        <f>HYPERLINK("https://my.zakupki.prom.ua/remote/dispatcher/state_purchase_view/30275349", "UA-2021-09-27-011008-b")</f>
        <v/>
      </c>
      <c r="C24" t="s" s="2">
        <v>3102</v>
      </c>
      <c r="D24" s="2">
        <f>HYPERLINK("https://my.zakupki.prom.ua/remote/dispatcher/state_contracting_view/10627097", "UA-2021-09-27-011008-b-b1")</f>
        <v/>
      </c>
      <c r="E24" t="s" s="1">
        <v>2004</v>
      </c>
      <c r="F24" t="s" s="1">
        <v>2947</v>
      </c>
      <c r="G24" t="s" s="1">
        <v>2947</v>
      </c>
      <c r="H24" t="s" s="1">
        <v>1444</v>
      </c>
      <c r="I24" t="s" s="1">
        <v>2178</v>
      </c>
      <c r="J24" t="s" s="1">
        <v>2158</v>
      </c>
      <c r="K24" t="s" s="1">
        <v>432</v>
      </c>
      <c r="L24" t="s" s="1">
        <v>441</v>
      </c>
      <c r="M24" t="n" s="5">
        <v>14760.0</v>
      </c>
      <c r="N24" t="n" s="7">
        <v>44466.0</v>
      </c>
      <c r="O24" t="n" s="7">
        <v>44561.0</v>
      </c>
      <c r="P24" t="s" s="1">
        <v>3384</v>
      </c>
    </row>
    <row r="25" spans="1:16">
      <c r="A25" t="n" s="4">
        <v>21</v>
      </c>
      <c r="B25" s="2">
        <f>HYPERLINK("https://my.zakupki.prom.ua/remote/dispatcher/state_purchase_view/26257616", "UA-2021-04-29-004835-c")</f>
        <v/>
      </c>
      <c r="C25" t="s" s="2">
        <v>3102</v>
      </c>
      <c r="D25" s="2">
        <f>HYPERLINK("https://my.zakupki.prom.ua/remote/dispatcher/state_contracting_view/8738973", "UA-2021-04-29-004835-c-c1")</f>
        <v/>
      </c>
      <c r="E25" t="s" s="1">
        <v>1919</v>
      </c>
      <c r="F25" t="s" s="1">
        <v>2420</v>
      </c>
      <c r="G25" t="s" s="1">
        <v>2420</v>
      </c>
      <c r="H25" t="s" s="1">
        <v>692</v>
      </c>
      <c r="I25" t="s" s="1">
        <v>2178</v>
      </c>
      <c r="J25" t="s" s="1">
        <v>3112</v>
      </c>
      <c r="K25" t="s" s="1">
        <v>802</v>
      </c>
      <c r="L25" t="s" s="1">
        <v>473</v>
      </c>
      <c r="M25" t="n" s="5">
        <v>30.0</v>
      </c>
      <c r="N25" t="n" s="7">
        <v>44315.0</v>
      </c>
      <c r="O25" t="n" s="7">
        <v>44561.0</v>
      </c>
      <c r="P25" t="s" s="1">
        <v>3384</v>
      </c>
    </row>
    <row r="26" spans="1:16">
      <c r="A26" t="n" s="4">
        <v>22</v>
      </c>
      <c r="B26" s="2">
        <f>HYPERLINK("https://my.zakupki.prom.ua/remote/dispatcher/state_purchase_view/26256745", "UA-2021-04-29-004514-c")</f>
        <v/>
      </c>
      <c r="C26" t="s" s="2">
        <v>3102</v>
      </c>
      <c r="D26" s="2">
        <f>HYPERLINK("https://my.zakupki.prom.ua/remote/dispatcher/state_contracting_view/8739165", "UA-2021-04-29-004514-c-c1")</f>
        <v/>
      </c>
      <c r="E26" t="s" s="1">
        <v>1844</v>
      </c>
      <c r="F26" t="s" s="1">
        <v>2812</v>
      </c>
      <c r="G26" t="s" s="1">
        <v>2812</v>
      </c>
      <c r="H26" t="s" s="1">
        <v>1059</v>
      </c>
      <c r="I26" t="s" s="1">
        <v>2178</v>
      </c>
      <c r="J26" t="s" s="1">
        <v>3112</v>
      </c>
      <c r="K26" t="s" s="1">
        <v>802</v>
      </c>
      <c r="L26" t="s" s="1">
        <v>84</v>
      </c>
      <c r="M26" t="n" s="5">
        <v>18207.0</v>
      </c>
      <c r="N26" t="n" s="7">
        <v>44314.0</v>
      </c>
      <c r="O26" t="n" s="7">
        <v>44561.0</v>
      </c>
      <c r="P26" t="s" s="1">
        <v>3384</v>
      </c>
    </row>
    <row r="27" spans="1:16">
      <c r="A27" t="n" s="4">
        <v>23</v>
      </c>
      <c r="B27" s="2">
        <f>HYPERLINK("https://my.zakupki.prom.ua/remote/dispatcher/state_purchase_view/26275518", "UA-2021-04-30-000208-a")</f>
        <v/>
      </c>
      <c r="C27" t="s" s="2">
        <v>3102</v>
      </c>
      <c r="D27" s="2">
        <f>HYPERLINK("https://my.zakupki.prom.ua/remote/dispatcher/state_contracting_view/8746423", "UA-2021-04-30-000208-a-a1")</f>
        <v/>
      </c>
      <c r="E27" t="s" s="1">
        <v>2069</v>
      </c>
      <c r="F27" t="s" s="1">
        <v>3044</v>
      </c>
      <c r="G27" t="s" s="1">
        <v>3044</v>
      </c>
      <c r="H27" t="s" s="1">
        <v>1075</v>
      </c>
      <c r="I27" t="s" s="1">
        <v>2178</v>
      </c>
      <c r="J27" t="s" s="1">
        <v>3112</v>
      </c>
      <c r="K27" t="s" s="1">
        <v>802</v>
      </c>
      <c r="L27" t="s" s="1">
        <v>860</v>
      </c>
      <c r="M27" t="n" s="5">
        <v>2492.4</v>
      </c>
      <c r="N27" t="n" s="7">
        <v>44315.0</v>
      </c>
      <c r="O27" t="n" s="7">
        <v>44561.0</v>
      </c>
      <c r="P27" t="s" s="1">
        <v>3384</v>
      </c>
    </row>
    <row r="28" spans="1:16">
      <c r="A28" t="n" s="4">
        <v>24</v>
      </c>
      <c r="B28" s="2">
        <f>HYPERLINK("https://my.zakupki.prom.ua/remote/dispatcher/state_purchase_view/24743939", "UA-2021-03-10-005525-b")</f>
        <v/>
      </c>
      <c r="C28" t="s" s="2">
        <v>3102</v>
      </c>
      <c r="D28" s="2">
        <f>HYPERLINK("https://my.zakupki.prom.ua/remote/dispatcher/state_contracting_view/8014116", "UA-2021-03-10-005525-b-b1")</f>
        <v/>
      </c>
      <c r="E28" t="s" s="1">
        <v>958</v>
      </c>
      <c r="F28" t="s" s="1">
        <v>2616</v>
      </c>
      <c r="G28" t="s" s="1">
        <v>2616</v>
      </c>
      <c r="H28" t="s" s="1">
        <v>774</v>
      </c>
      <c r="I28" t="s" s="1">
        <v>2178</v>
      </c>
      <c r="J28" t="s" s="1">
        <v>3277</v>
      </c>
      <c r="K28" t="s" s="1">
        <v>519</v>
      </c>
      <c r="L28" t="s" s="1">
        <v>263</v>
      </c>
      <c r="M28" t="n" s="5">
        <v>65136.0</v>
      </c>
      <c r="N28" t="n" s="7">
        <v>44264.0</v>
      </c>
      <c r="O28" t="n" s="7">
        <v>44561.0</v>
      </c>
      <c r="P28" t="s" s="1">
        <v>3384</v>
      </c>
    </row>
    <row r="29" spans="1:16">
      <c r="A29" t="n" s="4">
        <v>25</v>
      </c>
      <c r="B29" s="2">
        <f>HYPERLINK("https://my.zakupki.prom.ua/remote/dispatcher/state_purchase_view/23276320", "UA-2021-01-26-007142-b")</f>
        <v/>
      </c>
      <c r="C29" t="s" s="2">
        <v>3102</v>
      </c>
      <c r="D29" s="2">
        <f>HYPERLINK("https://my.zakupki.prom.ua/remote/dispatcher/state_contracting_view/7942675", "UA-2021-01-26-007142-b-c1")</f>
        <v/>
      </c>
      <c r="E29" t="s" s="1">
        <v>498</v>
      </c>
      <c r="F29" t="s" s="1">
        <v>2547</v>
      </c>
      <c r="G29" t="s" s="1">
        <v>2547</v>
      </c>
      <c r="H29" t="s" s="1">
        <v>761</v>
      </c>
      <c r="I29" t="s" s="1">
        <v>2142</v>
      </c>
      <c r="J29" t="s" s="1">
        <v>3280</v>
      </c>
      <c r="K29" t="s" s="1">
        <v>895</v>
      </c>
      <c r="L29" t="s" s="1">
        <v>247</v>
      </c>
      <c r="M29" t="n" s="5">
        <v>3823110.0</v>
      </c>
      <c r="N29" t="n" s="7">
        <v>44257.0</v>
      </c>
      <c r="O29" t="n" s="7">
        <v>44561.0</v>
      </c>
      <c r="P29" t="s" s="1">
        <v>3384</v>
      </c>
    </row>
    <row r="30" spans="1:16">
      <c r="A30" t="n" s="4">
        <v>26</v>
      </c>
      <c r="B30" s="2">
        <f>HYPERLINK("https://my.zakupki.prom.ua/remote/dispatcher/state_purchase_view/24576651", "UA-2021-03-03-010032-c")</f>
        <v/>
      </c>
      <c r="C30" t="s" s="2">
        <v>3102</v>
      </c>
      <c r="D30" s="2">
        <f>HYPERLINK("https://my.zakupki.prom.ua/remote/dispatcher/state_contracting_view/7938818", "UA-2021-03-03-010032-c-c1")</f>
        <v/>
      </c>
      <c r="E30" t="s" s="1">
        <v>1984</v>
      </c>
      <c r="F30" t="s" s="1">
        <v>2204</v>
      </c>
      <c r="G30" t="s" s="1">
        <v>2204</v>
      </c>
      <c r="H30" t="s" s="1">
        <v>1453</v>
      </c>
      <c r="I30" t="s" s="1">
        <v>2178</v>
      </c>
      <c r="J30" t="s" s="1">
        <v>2157</v>
      </c>
      <c r="K30" t="s" s="1">
        <v>435</v>
      </c>
      <c r="L30" t="s" s="1">
        <v>151</v>
      </c>
      <c r="M30" t="n" s="5">
        <v>1632.7</v>
      </c>
      <c r="N30" t="n" s="7">
        <v>44257.0</v>
      </c>
      <c r="O30" t="n" s="7">
        <v>44561.0</v>
      </c>
      <c r="P30" t="s" s="1">
        <v>3384</v>
      </c>
    </row>
    <row r="31" spans="1:16">
      <c r="A31" t="n" s="4">
        <v>27</v>
      </c>
      <c r="B31" s="2">
        <f>HYPERLINK("https://my.zakupki.prom.ua/remote/dispatcher/state_purchase_view/23361120", "UA-2021-01-28-001037-b")</f>
        <v/>
      </c>
      <c r="C31" t="s" s="2">
        <v>3102</v>
      </c>
      <c r="D31" s="2">
        <f>HYPERLINK("https://my.zakupki.prom.ua/remote/dispatcher/state_contracting_view/7378898", "UA-2021-01-28-001037-b-b1")</f>
        <v/>
      </c>
      <c r="E31" t="s" s="1">
        <v>2084</v>
      </c>
      <c r="F31" t="s" s="1">
        <v>2712</v>
      </c>
      <c r="G31" t="s" s="1">
        <v>2712</v>
      </c>
      <c r="H31" t="s" s="1">
        <v>782</v>
      </c>
      <c r="I31" t="s" s="1">
        <v>2178</v>
      </c>
      <c r="J31" t="s" s="1">
        <v>3306</v>
      </c>
      <c r="K31" t="s" s="1">
        <v>996</v>
      </c>
      <c r="L31" t="s" s="1">
        <v>3071</v>
      </c>
      <c r="M31" t="n" s="5">
        <v>5970.0</v>
      </c>
      <c r="N31" t="n" s="7">
        <v>44224.0</v>
      </c>
      <c r="O31" t="n" s="7">
        <v>44561.0</v>
      </c>
      <c r="P31" t="s" s="1">
        <v>3384</v>
      </c>
    </row>
    <row r="32" spans="1:16">
      <c r="A32" t="n" s="4">
        <v>28</v>
      </c>
      <c r="B32" s="2">
        <f>HYPERLINK("https://my.zakupki.prom.ua/remote/dispatcher/state_purchase_view/26401569", "UA-2021-05-11-000484-a")</f>
        <v/>
      </c>
      <c r="C32" t="s" s="2">
        <v>3102</v>
      </c>
      <c r="D32" s="2">
        <f>HYPERLINK("https://my.zakupki.prom.ua/remote/dispatcher/state_contracting_view/8809960", "UA-2021-05-11-000484-a-a1")</f>
        <v/>
      </c>
      <c r="E32" t="s" s="1">
        <v>873</v>
      </c>
      <c r="F32" t="s" s="1">
        <v>2656</v>
      </c>
      <c r="G32" t="s" s="1">
        <v>2656</v>
      </c>
      <c r="H32" t="s" s="1">
        <v>774</v>
      </c>
      <c r="I32" t="s" s="1">
        <v>2178</v>
      </c>
      <c r="J32" t="s" s="1">
        <v>3277</v>
      </c>
      <c r="K32" t="s" s="1">
        <v>519</v>
      </c>
      <c r="L32" t="s" s="1">
        <v>1187</v>
      </c>
      <c r="M32" t="n" s="5">
        <v>940.0</v>
      </c>
      <c r="N32" t="n" s="7">
        <v>44323.0</v>
      </c>
      <c r="O32" t="n" s="7">
        <v>44561.0</v>
      </c>
      <c r="P32" t="s" s="1">
        <v>3384</v>
      </c>
    </row>
    <row r="33" spans="1:16">
      <c r="A33" t="n" s="4">
        <v>29</v>
      </c>
      <c r="B33" s="2">
        <f>HYPERLINK("https://my.zakupki.prom.ua/remote/dispatcher/state_purchase_view/24962354", "UA-2021-03-17-000689-c")</f>
        <v/>
      </c>
      <c r="C33" t="s" s="2">
        <v>3102</v>
      </c>
      <c r="D33" s="2">
        <f>HYPERLINK("https://my.zakupki.prom.ua/remote/dispatcher/state_contracting_view/8118924", "UA-2021-03-17-000689-c-c1")</f>
        <v/>
      </c>
      <c r="E33" t="s" s="1">
        <v>1727</v>
      </c>
      <c r="F33" t="s" s="1">
        <v>2512</v>
      </c>
      <c r="G33" t="s" s="1">
        <v>3431</v>
      </c>
      <c r="H33" t="s" s="1">
        <v>759</v>
      </c>
      <c r="I33" t="s" s="1">
        <v>2178</v>
      </c>
      <c r="J33" t="s" s="1">
        <v>3286</v>
      </c>
      <c r="K33" t="s" s="1">
        <v>820</v>
      </c>
      <c r="L33" t="s" s="1">
        <v>454</v>
      </c>
      <c r="M33" t="n" s="5">
        <v>97870.0</v>
      </c>
      <c r="N33" t="n" s="7">
        <v>44272.0</v>
      </c>
      <c r="O33" t="n" s="7">
        <v>44561.0</v>
      </c>
      <c r="P33" t="s" s="1">
        <v>3384</v>
      </c>
    </row>
    <row r="34" spans="1:16">
      <c r="A34" t="n" s="4">
        <v>30</v>
      </c>
      <c r="B34" s="2">
        <f>HYPERLINK("https://my.zakupki.prom.ua/remote/dispatcher/state_purchase_view/24902206", "UA-2021-03-15-011050-b")</f>
        <v/>
      </c>
      <c r="C34" t="s" s="2">
        <v>3102</v>
      </c>
      <c r="D34" s="2">
        <f>HYPERLINK("https://my.zakupki.prom.ua/remote/dispatcher/state_contracting_view/8091314", "UA-2021-03-15-011050-b-b1")</f>
        <v/>
      </c>
      <c r="E34" t="s" s="1">
        <v>949</v>
      </c>
      <c r="F34" t="s" s="1">
        <v>2506</v>
      </c>
      <c r="G34" t="s" s="1">
        <v>2506</v>
      </c>
      <c r="H34" t="s" s="1">
        <v>759</v>
      </c>
      <c r="I34" t="s" s="1">
        <v>2178</v>
      </c>
      <c r="J34" t="s" s="1">
        <v>3258</v>
      </c>
      <c r="K34" t="s" s="1">
        <v>776</v>
      </c>
      <c r="L34" t="s" s="1">
        <v>1616</v>
      </c>
      <c r="M34" t="n" s="5">
        <v>77000.0</v>
      </c>
      <c r="N34" t="n" s="7">
        <v>44270.0</v>
      </c>
      <c r="O34" t="n" s="7">
        <v>44561.0</v>
      </c>
      <c r="P34" t="s" s="1">
        <v>3384</v>
      </c>
    </row>
    <row r="35" spans="1:16">
      <c r="A35" t="n" s="4">
        <v>31</v>
      </c>
      <c r="B35" s="2">
        <f>HYPERLINK("https://my.zakupki.prom.ua/remote/dispatcher/state_purchase_view/27188124", "UA-2021-06-04-005326-b")</f>
        <v/>
      </c>
      <c r="C35" t="s" s="2">
        <v>3102</v>
      </c>
      <c r="D35" s="2">
        <f>HYPERLINK("https://my.zakupki.prom.ua/remote/dispatcher/state_contracting_view/9180238", "UA-2021-06-04-005326-b-b1")</f>
        <v/>
      </c>
      <c r="E35" t="s" s="1">
        <v>1640</v>
      </c>
      <c r="F35" t="s" s="1">
        <v>2956</v>
      </c>
      <c r="G35" t="s" s="1">
        <v>2956</v>
      </c>
      <c r="H35" t="s" s="1">
        <v>1447</v>
      </c>
      <c r="I35" t="s" s="1">
        <v>2178</v>
      </c>
      <c r="J35" t="s" s="1">
        <v>3351</v>
      </c>
      <c r="K35" t="s" s="1">
        <v>791</v>
      </c>
      <c r="L35" t="s" s="1">
        <v>70</v>
      </c>
      <c r="M35" t="n" s="5">
        <v>16200.0</v>
      </c>
      <c r="N35" t="n" s="7">
        <v>44351.0</v>
      </c>
      <c r="O35" t="n" s="7">
        <v>44561.0</v>
      </c>
      <c r="P35" t="s" s="1">
        <v>3384</v>
      </c>
    </row>
    <row r="36" spans="1:16">
      <c r="A36" t="n" s="4">
        <v>32</v>
      </c>
      <c r="B36" s="2">
        <f>HYPERLINK("https://my.zakupki.prom.ua/remote/dispatcher/state_purchase_view/27774365", "UA-2021-06-25-002663-c")</f>
        <v/>
      </c>
      <c r="C36" t="s" s="2">
        <v>3102</v>
      </c>
      <c r="D36" s="2">
        <f>HYPERLINK("https://my.zakupki.prom.ua/remote/dispatcher/state_contracting_view/9465322", "UA-2021-06-25-002663-c-c1")</f>
        <v/>
      </c>
      <c r="E36" t="s" s="1">
        <v>1843</v>
      </c>
      <c r="F36" t="s" s="1">
        <v>2425</v>
      </c>
      <c r="G36" t="s" s="1">
        <v>2425</v>
      </c>
      <c r="H36" t="s" s="1">
        <v>693</v>
      </c>
      <c r="I36" t="s" s="1">
        <v>2178</v>
      </c>
      <c r="J36" t="s" s="1">
        <v>3112</v>
      </c>
      <c r="K36" t="s" s="1">
        <v>802</v>
      </c>
      <c r="L36" t="s" s="1">
        <v>147</v>
      </c>
      <c r="M36" t="n" s="5">
        <v>3094.5</v>
      </c>
      <c r="N36" t="n" s="7">
        <v>44372.0</v>
      </c>
      <c r="O36" t="n" s="7">
        <v>44561.0</v>
      </c>
      <c r="P36" t="s" s="1">
        <v>3384</v>
      </c>
    </row>
    <row r="37" spans="1:16">
      <c r="A37" t="n" s="4">
        <v>33</v>
      </c>
      <c r="B37" s="2">
        <f>HYPERLINK("https://my.zakupki.prom.ua/remote/dispatcher/state_purchase_view/33035095", "UA-2021-12-14-002085-c")</f>
        <v/>
      </c>
      <c r="C37" t="s" s="2">
        <v>3102</v>
      </c>
      <c r="D37" s="2">
        <f>HYPERLINK("https://my.zakupki.prom.ua/remote/dispatcher/state_contracting_view/11925762", "UA-2021-12-14-002085-c-c1")</f>
        <v/>
      </c>
      <c r="E37" t="s" s="1">
        <v>947</v>
      </c>
      <c r="F37" t="s" s="1">
        <v>2638</v>
      </c>
      <c r="G37" t="s" s="1">
        <v>3425</v>
      </c>
      <c r="H37" t="s" s="1">
        <v>774</v>
      </c>
      <c r="I37" t="s" s="1">
        <v>2178</v>
      </c>
      <c r="J37" t="s" s="1">
        <v>3262</v>
      </c>
      <c r="K37" t="s" s="1">
        <v>1012</v>
      </c>
      <c r="L37" t="s" s="1">
        <v>1648</v>
      </c>
      <c r="M37" t="n" s="5">
        <v>50512.0</v>
      </c>
      <c r="N37" t="n" s="7">
        <v>44544.0</v>
      </c>
      <c r="O37" t="n" s="7">
        <v>44561.0</v>
      </c>
      <c r="P37" t="s" s="1">
        <v>3384</v>
      </c>
    </row>
    <row r="38" spans="1:16">
      <c r="A38" t="n" s="4">
        <v>34</v>
      </c>
      <c r="B38" s="2">
        <f>HYPERLINK("https://my.zakupki.prom.ua/remote/dispatcher/state_purchase_view/31884750", "UA-2021-11-17-006152-a")</f>
        <v/>
      </c>
      <c r="C38" t="s" s="2">
        <v>3102</v>
      </c>
      <c r="D38" s="2">
        <f>HYPERLINK("https://my.zakupki.prom.ua/remote/dispatcher/state_contracting_view/11367230", "UA-2021-11-17-006152-a-a1")</f>
        <v/>
      </c>
      <c r="E38" t="s" s="1">
        <v>1917</v>
      </c>
      <c r="F38" t="s" s="1">
        <v>2672</v>
      </c>
      <c r="G38" t="s" s="1">
        <v>3505</v>
      </c>
      <c r="H38" t="s" s="1">
        <v>774</v>
      </c>
      <c r="I38" t="s" s="1">
        <v>2178</v>
      </c>
      <c r="J38" t="s" s="1">
        <v>3207</v>
      </c>
      <c r="K38" t="s" s="1">
        <v>776</v>
      </c>
      <c r="L38" t="s" s="1">
        <v>837</v>
      </c>
      <c r="M38" t="n" s="5">
        <v>5211.75</v>
      </c>
      <c r="N38" t="n" s="7">
        <v>44517.0</v>
      </c>
      <c r="O38" t="n" s="7">
        <v>44561.0</v>
      </c>
      <c r="P38" t="s" s="1">
        <v>3384</v>
      </c>
    </row>
    <row r="39" spans="1:16">
      <c r="A39" t="n" s="4">
        <v>35</v>
      </c>
      <c r="B39" s="2">
        <f>HYPERLINK("https://my.zakupki.prom.ua/remote/dispatcher/state_purchase_view/23575672", "UA-2021-02-03-001226-a")</f>
        <v/>
      </c>
      <c r="C39" t="s" s="2">
        <v>3102</v>
      </c>
      <c r="D39" s="2">
        <f>HYPERLINK("https://my.zakupki.prom.ua/remote/dispatcher/state_contracting_view/7471831", "UA-2021-02-03-001226-a-a1")</f>
        <v/>
      </c>
      <c r="E39" t="s" s="1">
        <v>1838</v>
      </c>
      <c r="F39" t="s" s="1">
        <v>2665</v>
      </c>
      <c r="G39" t="s" s="1">
        <v>3492</v>
      </c>
      <c r="H39" t="s" s="1">
        <v>774</v>
      </c>
      <c r="I39" t="s" s="1">
        <v>2178</v>
      </c>
      <c r="J39" t="s" s="1">
        <v>3131</v>
      </c>
      <c r="K39" t="s" s="1">
        <v>658</v>
      </c>
      <c r="L39" t="s" s="1">
        <v>1485</v>
      </c>
      <c r="M39" t="n" s="5">
        <v>224000.0</v>
      </c>
      <c r="N39" t="n" s="7">
        <v>44230.0</v>
      </c>
      <c r="O39" t="n" s="7">
        <v>44561.0</v>
      </c>
      <c r="P39" t="s" s="1">
        <v>3384</v>
      </c>
    </row>
    <row r="40" spans="1:16">
      <c r="A40" t="n" s="4">
        <v>36</v>
      </c>
      <c r="B40" s="2">
        <f>HYPERLINK("https://my.zakupki.prom.ua/remote/dispatcher/state_purchase_view/32925315", "UA-2021-12-10-013229-c")</f>
        <v/>
      </c>
      <c r="C40" t="s" s="2">
        <v>3102</v>
      </c>
      <c r="D40" s="2">
        <f>HYPERLINK("https://my.zakupki.prom.ua/remote/dispatcher/state_contracting_view/11849354", "UA-2021-12-10-013229-c-c1")</f>
        <v/>
      </c>
      <c r="E40" t="s" s="1">
        <v>1863</v>
      </c>
      <c r="F40" t="s" s="1">
        <v>2681</v>
      </c>
      <c r="G40" t="s" s="1">
        <v>2681</v>
      </c>
      <c r="H40" t="s" s="1">
        <v>774</v>
      </c>
      <c r="I40" t="s" s="1">
        <v>2178</v>
      </c>
      <c r="J40" t="s" s="1">
        <v>3216</v>
      </c>
      <c r="K40" t="s" s="1">
        <v>519</v>
      </c>
      <c r="L40" t="s" s="1">
        <v>1645</v>
      </c>
      <c r="M40" t="n" s="5">
        <v>215400.0</v>
      </c>
      <c r="N40" t="n" s="7">
        <v>44540.0</v>
      </c>
      <c r="O40" t="n" s="7">
        <v>44561.0</v>
      </c>
      <c r="P40" t="s" s="1">
        <v>3384</v>
      </c>
    </row>
    <row r="41" spans="1:16">
      <c r="A41" t="n" s="4">
        <v>37</v>
      </c>
      <c r="B41" s="2">
        <f>HYPERLINK("https://my.zakupki.prom.ua/remote/dispatcher/state_purchase_view/33550221", "UA-2021-12-22-009745-c")</f>
        <v/>
      </c>
      <c r="C41" t="s" s="2">
        <v>3102</v>
      </c>
      <c r="D41" s="2">
        <f>HYPERLINK("https://my.zakupki.prom.ua/remote/dispatcher/state_contracting_view/12152266", "UA-2021-12-22-009745-c-c1")</f>
        <v/>
      </c>
      <c r="E41" t="s" s="1">
        <v>1901</v>
      </c>
      <c r="F41" t="s" s="1">
        <v>2200</v>
      </c>
      <c r="G41" t="s" s="1">
        <v>3085</v>
      </c>
      <c r="H41" t="s" s="1">
        <v>774</v>
      </c>
      <c r="I41" t="s" s="1">
        <v>2178</v>
      </c>
      <c r="J41" t="s" s="1">
        <v>3219</v>
      </c>
      <c r="K41" t="s" s="1">
        <v>519</v>
      </c>
      <c r="L41" t="s" s="1">
        <v>1659</v>
      </c>
      <c r="M41" t="n" s="5">
        <v>208378.78</v>
      </c>
      <c r="N41" t="n" s="7">
        <v>44552.0</v>
      </c>
      <c r="O41" t="n" s="7">
        <v>44561.0</v>
      </c>
      <c r="P41" t="s" s="1">
        <v>3384</v>
      </c>
    </row>
    <row r="42" spans="1:16">
      <c r="A42" t="n" s="4">
        <v>38</v>
      </c>
      <c r="B42" s="2">
        <f>HYPERLINK("https://my.zakupki.prom.ua/remote/dispatcher/state_purchase_view/32212485", "UA-2021-11-25-004722-a")</f>
        <v/>
      </c>
      <c r="C42" t="s" s="2">
        <v>3102</v>
      </c>
      <c r="D42" s="2">
        <f>HYPERLINK("https://my.zakupki.prom.ua/remote/dispatcher/state_contracting_view/11517969", "UA-2021-11-25-004722-a-a1")</f>
        <v/>
      </c>
      <c r="E42" t="s" s="1">
        <v>1977</v>
      </c>
      <c r="F42" t="s" s="1">
        <v>2701</v>
      </c>
      <c r="G42" t="s" s="1">
        <v>2701</v>
      </c>
      <c r="H42" t="s" s="1">
        <v>775</v>
      </c>
      <c r="I42" t="s" s="1">
        <v>2178</v>
      </c>
      <c r="J42" t="s" s="1">
        <v>3241</v>
      </c>
      <c r="K42" t="s" s="1">
        <v>996</v>
      </c>
      <c r="L42" t="s" s="1">
        <v>3062</v>
      </c>
      <c r="M42" t="n" s="5">
        <v>2550.0</v>
      </c>
      <c r="N42" t="n" s="7">
        <v>44525.0</v>
      </c>
      <c r="O42" t="n" s="7">
        <v>44561.0</v>
      </c>
      <c r="P42" t="s" s="1">
        <v>3384</v>
      </c>
    </row>
    <row r="43" spans="1:16">
      <c r="A43" t="n" s="4">
        <v>39</v>
      </c>
      <c r="B43" s="2">
        <f>HYPERLINK("https://my.zakupki.prom.ua/remote/dispatcher/state_purchase_view/32214266", "UA-2021-11-25-005223-a")</f>
        <v/>
      </c>
      <c r="C43" t="s" s="2">
        <v>3102</v>
      </c>
      <c r="D43" s="2">
        <f>HYPERLINK("https://my.zakupki.prom.ua/remote/dispatcher/state_contracting_view/11519542", "UA-2021-11-25-005223-a-a1")</f>
        <v/>
      </c>
      <c r="E43" t="s" s="1">
        <v>110</v>
      </c>
      <c r="F43" t="s" s="1">
        <v>2700</v>
      </c>
      <c r="G43" t="s" s="1">
        <v>3393</v>
      </c>
      <c r="H43" t="s" s="1">
        <v>775</v>
      </c>
      <c r="I43" t="s" s="1">
        <v>2178</v>
      </c>
      <c r="J43" t="s" s="1">
        <v>3241</v>
      </c>
      <c r="K43" t="s" s="1">
        <v>996</v>
      </c>
      <c r="L43" t="s" s="1">
        <v>3061</v>
      </c>
      <c r="M43" t="n" s="5">
        <v>21015.0</v>
      </c>
      <c r="N43" t="n" s="7">
        <v>44525.0</v>
      </c>
      <c r="O43" t="n" s="7">
        <v>44561.0</v>
      </c>
      <c r="P43" t="s" s="1">
        <v>3384</v>
      </c>
    </row>
    <row r="44" spans="1:16">
      <c r="A44" t="n" s="4">
        <v>40</v>
      </c>
      <c r="B44" s="2">
        <f>HYPERLINK("https://my.zakupki.prom.ua/remote/dispatcher/state_purchase_view/25485591", "UA-2021-04-02-003189-b")</f>
        <v/>
      </c>
      <c r="C44" t="s" s="2">
        <v>3102</v>
      </c>
      <c r="D44" s="2">
        <f>HYPERLINK("https://my.zakupki.prom.ua/remote/dispatcher/state_contracting_view/8371407", "UA-2021-04-02-003189-b-b1")</f>
        <v/>
      </c>
      <c r="E44" t="s" s="1">
        <v>1344</v>
      </c>
      <c r="F44" t="s" s="1">
        <v>2719</v>
      </c>
      <c r="G44" t="s" s="1">
        <v>3454</v>
      </c>
      <c r="H44" t="s" s="1">
        <v>785</v>
      </c>
      <c r="I44" t="s" s="1">
        <v>2178</v>
      </c>
      <c r="J44" t="s" s="1">
        <v>3356</v>
      </c>
      <c r="K44" t="s" s="1">
        <v>814</v>
      </c>
      <c r="L44" t="s" s="1">
        <v>715</v>
      </c>
      <c r="M44" t="n" s="5">
        <v>15600.0</v>
      </c>
      <c r="N44" t="n" s="7">
        <v>44288.0</v>
      </c>
      <c r="O44" t="n" s="7">
        <v>44561.0</v>
      </c>
      <c r="P44" t="s" s="1">
        <v>3384</v>
      </c>
    </row>
    <row r="45" spans="1:16">
      <c r="A45" t="n" s="4">
        <v>41</v>
      </c>
      <c r="B45" s="2">
        <f>HYPERLINK("https://my.zakupki.prom.ua/remote/dispatcher/state_purchase_view/30148461", "UA-2021-09-23-002636-b")</f>
        <v/>
      </c>
      <c r="C45" t="s" s="2">
        <v>3102</v>
      </c>
      <c r="D45" s="2">
        <f>HYPERLINK("https://my.zakupki.prom.ua/remote/dispatcher/state_contracting_view/10568527", "UA-2021-09-23-002636-b-b1")</f>
        <v/>
      </c>
      <c r="E45" t="s" s="1">
        <v>476</v>
      </c>
      <c r="F45" t="s" s="1">
        <v>2879</v>
      </c>
      <c r="G45" t="s" s="1">
        <v>2879</v>
      </c>
      <c r="H45" t="s" s="1">
        <v>1083</v>
      </c>
      <c r="I45" t="s" s="1">
        <v>2178</v>
      </c>
      <c r="J45" t="s" s="1">
        <v>3113</v>
      </c>
      <c r="K45" t="s" s="1">
        <v>816</v>
      </c>
      <c r="L45" t="s" s="1">
        <v>117</v>
      </c>
      <c r="M45" t="n" s="5">
        <v>2153.4</v>
      </c>
      <c r="N45" t="n" s="7">
        <v>44462.0</v>
      </c>
      <c r="O45" t="n" s="7">
        <v>44561.0</v>
      </c>
      <c r="P45" t="s" s="1">
        <v>3384</v>
      </c>
    </row>
    <row r="46" spans="1:16">
      <c r="A46" t="n" s="4">
        <v>42</v>
      </c>
      <c r="B46" s="2">
        <f>HYPERLINK("https://my.zakupki.prom.ua/remote/dispatcher/state_purchase_view/29431236", "UA-2021-09-01-001192-a")</f>
        <v/>
      </c>
      <c r="C46" t="s" s="2">
        <v>3102</v>
      </c>
      <c r="D46" s="2">
        <f>HYPERLINK("https://my.zakupki.prom.ua/remote/dispatcher/state_contracting_view/10237410", "UA-2021-09-01-001192-a-a1")</f>
        <v/>
      </c>
      <c r="E46" t="s" s="1">
        <v>1439</v>
      </c>
      <c r="F46" t="s" s="1">
        <v>2761</v>
      </c>
      <c r="G46" t="s" s="1">
        <v>2761</v>
      </c>
      <c r="H46" t="s" s="1">
        <v>914</v>
      </c>
      <c r="I46" t="s" s="1">
        <v>2178</v>
      </c>
      <c r="J46" t="s" s="1">
        <v>3356</v>
      </c>
      <c r="K46" t="s" s="1">
        <v>814</v>
      </c>
      <c r="L46" t="s" s="1">
        <v>1389</v>
      </c>
      <c r="M46" t="n" s="5">
        <v>33399.9</v>
      </c>
      <c r="N46" t="n" s="7">
        <v>44440.0</v>
      </c>
      <c r="O46" t="n" s="7">
        <v>44561.0</v>
      </c>
      <c r="P46" t="s" s="1">
        <v>3384</v>
      </c>
    </row>
    <row r="47" spans="1:16">
      <c r="A47" t="n" s="4">
        <v>43</v>
      </c>
      <c r="B47" s="2">
        <f>HYPERLINK("https://my.zakupki.prom.ua/remote/dispatcher/state_purchase_view/27778430", "UA-2021-06-25-003875-c")</f>
        <v/>
      </c>
      <c r="C47" t="s" s="2">
        <v>3102</v>
      </c>
      <c r="D47" s="2">
        <f>HYPERLINK("https://my.zakupki.prom.ua/remote/dispatcher/state_contracting_view/9464664", "UA-2021-06-25-003875-c-c1")</f>
        <v/>
      </c>
      <c r="E47" t="s" s="1">
        <v>1991</v>
      </c>
      <c r="F47" t="s" s="1">
        <v>2896</v>
      </c>
      <c r="G47" t="s" s="1">
        <v>2896</v>
      </c>
      <c r="H47" t="s" s="1">
        <v>1085</v>
      </c>
      <c r="I47" t="s" s="1">
        <v>2178</v>
      </c>
      <c r="J47" t="s" s="1">
        <v>3112</v>
      </c>
      <c r="K47" t="s" s="1">
        <v>802</v>
      </c>
      <c r="L47" t="s" s="1">
        <v>474</v>
      </c>
      <c r="M47" t="n" s="5">
        <v>35.1</v>
      </c>
      <c r="N47" t="n" s="7">
        <v>44372.0</v>
      </c>
      <c r="O47" t="n" s="7">
        <v>44561.0</v>
      </c>
      <c r="P47" t="s" s="1">
        <v>3384</v>
      </c>
    </row>
    <row r="48" spans="1:16">
      <c r="A48" t="n" s="4">
        <v>44</v>
      </c>
      <c r="B48" s="2">
        <f>HYPERLINK("https://my.zakupki.prom.ua/remote/dispatcher/state_purchase_view/27776247", "UA-2021-06-25-003240-c")</f>
        <v/>
      </c>
      <c r="C48" t="s" s="2">
        <v>3102</v>
      </c>
      <c r="D48" s="2">
        <f>HYPERLINK("https://my.zakupki.prom.ua/remote/dispatcher/state_contracting_view/9465233", "UA-2021-06-25-003240-c-c1")</f>
        <v/>
      </c>
      <c r="E48" t="s" s="1">
        <v>1126</v>
      </c>
      <c r="F48" t="s" s="1">
        <v>2335</v>
      </c>
      <c r="G48" t="s" s="1">
        <v>2335</v>
      </c>
      <c r="H48" t="s" s="1">
        <v>375</v>
      </c>
      <c r="I48" t="s" s="1">
        <v>2178</v>
      </c>
      <c r="J48" t="s" s="1">
        <v>3112</v>
      </c>
      <c r="K48" t="s" s="1">
        <v>802</v>
      </c>
      <c r="L48" t="s" s="1">
        <v>287</v>
      </c>
      <c r="M48" t="n" s="5">
        <v>47.0</v>
      </c>
      <c r="N48" t="n" s="7">
        <v>44372.0</v>
      </c>
      <c r="O48" t="n" s="7">
        <v>44561.0</v>
      </c>
      <c r="P48" t="s" s="1">
        <v>3384</v>
      </c>
    </row>
    <row r="49" spans="1:16">
      <c r="A49" t="n" s="4">
        <v>45</v>
      </c>
      <c r="B49" s="2">
        <f>HYPERLINK("https://my.zakupki.prom.ua/remote/dispatcher/state_purchase_view/25207990", "UA-2021-03-24-006685-b")</f>
        <v/>
      </c>
      <c r="C49" t="s" s="2">
        <v>3102</v>
      </c>
      <c r="D49" s="2">
        <f>HYPERLINK("https://my.zakupki.prom.ua/remote/dispatcher/state_contracting_view/8248331", "UA-2021-03-24-006685-b-b1")</f>
        <v/>
      </c>
      <c r="E49" t="s" s="1">
        <v>402</v>
      </c>
      <c r="F49" t="s" s="1">
        <v>2289</v>
      </c>
      <c r="G49" t="s" s="1">
        <v>2289</v>
      </c>
      <c r="H49" t="s" s="1">
        <v>267</v>
      </c>
      <c r="I49" t="s" s="1">
        <v>2178</v>
      </c>
      <c r="J49" t="s" s="1">
        <v>3356</v>
      </c>
      <c r="K49" t="s" s="1">
        <v>814</v>
      </c>
      <c r="L49" t="s" s="1">
        <v>576</v>
      </c>
      <c r="M49" t="n" s="5">
        <v>2300.0</v>
      </c>
      <c r="N49" t="n" s="7">
        <v>44278.0</v>
      </c>
      <c r="O49" t="n" s="7">
        <v>44561.0</v>
      </c>
      <c r="P49" t="s" s="1">
        <v>3384</v>
      </c>
    </row>
    <row r="50" spans="1:16">
      <c r="A50" t="n" s="4">
        <v>46</v>
      </c>
      <c r="B50" s="2">
        <f>HYPERLINK("https://my.zakupki.prom.ua/remote/dispatcher/state_purchase_view/25838768", "UA-2021-04-15-001540-b")</f>
        <v/>
      </c>
      <c r="C50" t="s" s="2">
        <v>3102</v>
      </c>
      <c r="D50" s="2">
        <f>HYPERLINK("https://my.zakupki.prom.ua/remote/dispatcher/state_contracting_view/8784586", "UA-2021-04-15-001540-b-c1")</f>
        <v/>
      </c>
      <c r="E50" t="s" s="1">
        <v>1802</v>
      </c>
      <c r="F50" t="s" s="1">
        <v>2271</v>
      </c>
      <c r="G50" t="s" s="1">
        <v>2271</v>
      </c>
      <c r="H50" t="s" s="1">
        <v>260</v>
      </c>
      <c r="I50" t="s" s="1">
        <v>3171</v>
      </c>
      <c r="J50" t="s" s="1">
        <v>3127</v>
      </c>
      <c r="K50" t="s" s="1">
        <v>1036</v>
      </c>
      <c r="L50" t="s" s="1">
        <v>1131</v>
      </c>
      <c r="M50" t="n" s="5">
        <v>109492.7</v>
      </c>
      <c r="N50" t="n" s="7">
        <v>44322.0</v>
      </c>
      <c r="O50" t="n" s="7">
        <v>44561.0</v>
      </c>
      <c r="P50" t="s" s="1">
        <v>3384</v>
      </c>
    </row>
    <row r="51" spans="1:16">
      <c r="A51" t="n" s="4">
        <v>47</v>
      </c>
      <c r="B51" s="2">
        <f>HYPERLINK("https://my.zakupki.prom.ua/remote/dispatcher/state_purchase_view/26236278", "UA-2021-04-28-005246-a")</f>
        <v/>
      </c>
      <c r="C51" t="s" s="2">
        <v>3102</v>
      </c>
      <c r="D51" s="2">
        <f>HYPERLINK("https://my.zakupki.prom.ua/remote/dispatcher/state_contracting_view/8733960", "UA-2021-04-28-005246-a-a1")</f>
        <v/>
      </c>
      <c r="E51" t="s" s="1">
        <v>1958</v>
      </c>
      <c r="F51" t="s" s="1">
        <v>2256</v>
      </c>
      <c r="G51" t="s" s="1">
        <v>2256</v>
      </c>
      <c r="H51" t="s" s="1">
        <v>252</v>
      </c>
      <c r="I51" t="s" s="1">
        <v>2178</v>
      </c>
      <c r="J51" t="s" s="1">
        <v>3356</v>
      </c>
      <c r="K51" t="s" s="1">
        <v>814</v>
      </c>
      <c r="L51" t="s" s="1">
        <v>1091</v>
      </c>
      <c r="M51" t="n" s="5">
        <v>11900.0</v>
      </c>
      <c r="N51" t="n" s="7">
        <v>44314.0</v>
      </c>
      <c r="O51" t="n" s="7">
        <v>44561.0</v>
      </c>
      <c r="P51" t="s" s="1">
        <v>3384</v>
      </c>
    </row>
    <row r="52" spans="1:16">
      <c r="A52" t="n" s="4">
        <v>48</v>
      </c>
      <c r="B52" s="2">
        <f>HYPERLINK("https://my.zakupki.prom.ua/remote/dispatcher/state_purchase_view/26233034", "UA-2021-04-28-004328-a")</f>
        <v/>
      </c>
      <c r="C52" t="s" s="2">
        <v>3102</v>
      </c>
      <c r="D52" s="2">
        <f>HYPERLINK("https://my.zakupki.prom.ua/remote/dispatcher/state_contracting_view/8734120", "UA-2021-04-28-004328-a-a1")</f>
        <v/>
      </c>
      <c r="E52" t="s" s="1">
        <v>1136</v>
      </c>
      <c r="F52" t="s" s="1">
        <v>2454</v>
      </c>
      <c r="G52" t="s" s="1">
        <v>2454</v>
      </c>
      <c r="H52" t="s" s="1">
        <v>708</v>
      </c>
      <c r="I52" t="s" s="1">
        <v>2178</v>
      </c>
      <c r="J52" t="s" s="1">
        <v>3309</v>
      </c>
      <c r="K52" t="s" s="1">
        <v>611</v>
      </c>
      <c r="L52" t="s" s="1">
        <v>3182</v>
      </c>
      <c r="M52" t="n" s="5">
        <v>256.0</v>
      </c>
      <c r="N52" t="n" s="7">
        <v>44314.0</v>
      </c>
      <c r="O52" t="n" s="7">
        <v>44561.0</v>
      </c>
      <c r="P52" t="s" s="1">
        <v>3384</v>
      </c>
    </row>
    <row r="53" spans="1:16">
      <c r="A53" t="n" s="4">
        <v>49</v>
      </c>
      <c r="B53" s="2">
        <f>HYPERLINK("https://my.zakupki.prom.ua/remote/dispatcher/state_purchase_view/25645014", "UA-2021-04-08-005017-b")</f>
        <v/>
      </c>
      <c r="C53" t="s" s="2">
        <v>3102</v>
      </c>
      <c r="D53" s="2">
        <f>HYPERLINK("https://my.zakupki.prom.ua/remote/dispatcher/state_contracting_view/8444316", "UA-2021-04-08-005017-b-b1")</f>
        <v/>
      </c>
      <c r="E53" t="s" s="1">
        <v>2062</v>
      </c>
      <c r="F53" t="s" s="1">
        <v>2368</v>
      </c>
      <c r="G53" t="s" s="1">
        <v>2368</v>
      </c>
      <c r="H53" t="s" s="1">
        <v>529</v>
      </c>
      <c r="I53" t="s" s="1">
        <v>2178</v>
      </c>
      <c r="J53" t="s" s="1">
        <v>2122</v>
      </c>
      <c r="K53" t="s" s="1">
        <v>74</v>
      </c>
      <c r="L53" t="s" s="1">
        <v>327</v>
      </c>
      <c r="M53" t="n" s="5">
        <v>2047500.0</v>
      </c>
      <c r="N53" t="n" s="7">
        <v>44294.0</v>
      </c>
      <c r="O53" t="n" s="7">
        <v>44561.0</v>
      </c>
      <c r="P53" t="s" s="1">
        <v>3384</v>
      </c>
    </row>
    <row r="54" spans="1:16">
      <c r="A54" t="n" s="4">
        <v>50</v>
      </c>
      <c r="B54" s="2">
        <f>HYPERLINK("https://my.zakupki.prom.ua/remote/dispatcher/state_purchase_view/24793146", "UA-2021-03-11-006616-b")</f>
        <v/>
      </c>
      <c r="C54" t="s" s="2">
        <v>3102</v>
      </c>
      <c r="D54" s="2">
        <f>HYPERLINK("https://my.zakupki.prom.ua/remote/dispatcher/state_contracting_view/8044866", "UA-2021-03-11-006616-b-b1")</f>
        <v/>
      </c>
      <c r="E54" t="s" s="1">
        <v>2083</v>
      </c>
      <c r="F54" t="s" s="1">
        <v>3014</v>
      </c>
      <c r="G54" t="s" s="1">
        <v>3014</v>
      </c>
      <c r="H54" t="s" s="1">
        <v>1631</v>
      </c>
      <c r="I54" t="s" s="1">
        <v>2178</v>
      </c>
      <c r="J54" t="s" s="1">
        <v>2185</v>
      </c>
      <c r="K54" t="s" s="1">
        <v>434</v>
      </c>
      <c r="L54" t="s" s="1">
        <v>319</v>
      </c>
      <c r="M54" t="n" s="5">
        <v>41000.0</v>
      </c>
      <c r="N54" t="n" s="7">
        <v>44266.0</v>
      </c>
      <c r="O54" t="n" s="7">
        <v>44561.0</v>
      </c>
      <c r="P54" t="s" s="1">
        <v>3384</v>
      </c>
    </row>
    <row r="55" spans="1:16">
      <c r="A55" t="n" s="4">
        <v>51</v>
      </c>
      <c r="B55" s="2">
        <f>HYPERLINK("https://my.zakupki.prom.ua/remote/dispatcher/state_purchase_view/24918260", "UA-2021-03-16-000432-a")</f>
        <v/>
      </c>
      <c r="C55" t="s" s="2">
        <v>3102</v>
      </c>
      <c r="D55" s="2">
        <f>HYPERLINK("https://my.zakupki.prom.ua/remote/dispatcher/state_contracting_view/8113034", "UA-2021-03-16-000432-a-a1")</f>
        <v/>
      </c>
      <c r="E55" t="s" s="1">
        <v>71</v>
      </c>
      <c r="F55" t="s" s="1">
        <v>2336</v>
      </c>
      <c r="G55" t="s" s="1">
        <v>2336</v>
      </c>
      <c r="H55" t="s" s="1">
        <v>376</v>
      </c>
      <c r="I55" t="s" s="1">
        <v>2178</v>
      </c>
      <c r="J55" t="s" s="1">
        <v>3343</v>
      </c>
      <c r="K55" t="s" s="1">
        <v>517</v>
      </c>
      <c r="L55" t="s" s="1">
        <v>447</v>
      </c>
      <c r="M55" t="n" s="5">
        <v>850.0</v>
      </c>
      <c r="N55" t="n" s="7">
        <v>44271.0</v>
      </c>
      <c r="O55" t="n" s="7">
        <v>44561.0</v>
      </c>
      <c r="P55" t="s" s="1">
        <v>3384</v>
      </c>
    </row>
    <row r="56" spans="1:16">
      <c r="A56" t="n" s="4">
        <v>52</v>
      </c>
      <c r="B56" s="2">
        <f>HYPERLINK("https://my.zakupki.prom.ua/remote/dispatcher/state_purchase_view/24772495", "UA-2021-03-11-000590-b")</f>
        <v/>
      </c>
      <c r="C56" t="s" s="2">
        <v>3102</v>
      </c>
      <c r="D56" s="2">
        <f>HYPERLINK("https://my.zakupki.prom.ua/remote/dispatcher/state_contracting_view/8027310", "UA-2021-03-11-000590-b-b1")</f>
        <v/>
      </c>
      <c r="E56" t="s" s="1">
        <v>1147</v>
      </c>
      <c r="F56" t="s" s="1">
        <v>2920</v>
      </c>
      <c r="G56" t="s" s="1">
        <v>2920</v>
      </c>
      <c r="H56" t="s" s="1">
        <v>1174</v>
      </c>
      <c r="I56" t="s" s="1">
        <v>2178</v>
      </c>
      <c r="J56" t="s" s="1">
        <v>3130</v>
      </c>
      <c r="K56" t="s" s="1">
        <v>1034</v>
      </c>
      <c r="L56" t="s" s="1">
        <v>213</v>
      </c>
      <c r="M56" t="n" s="5">
        <v>1527.0</v>
      </c>
      <c r="N56" t="n" s="7">
        <v>44266.0</v>
      </c>
      <c r="O56" t="n" s="7">
        <v>44561.0</v>
      </c>
      <c r="P56" t="s" s="1">
        <v>3384</v>
      </c>
    </row>
    <row r="57" spans="1:16">
      <c r="A57" t="n" s="4">
        <v>53</v>
      </c>
      <c r="B57" s="2">
        <f>HYPERLINK("https://my.zakupki.prom.ua/remote/dispatcher/state_purchase_view/25589280", "UA-2021-04-07-001087-a")</f>
        <v/>
      </c>
      <c r="C57" t="s" s="2">
        <v>3102</v>
      </c>
      <c r="D57" s="2">
        <f>HYPERLINK("https://my.zakupki.prom.ua/remote/dispatcher/state_contracting_view/8419533", "UA-2021-04-07-001087-a-a1")</f>
        <v/>
      </c>
      <c r="E57" t="s" s="1">
        <v>1912</v>
      </c>
      <c r="F57" t="s" s="1">
        <v>2297</v>
      </c>
      <c r="G57" t="s" s="1">
        <v>2297</v>
      </c>
      <c r="H57" t="s" s="1">
        <v>274</v>
      </c>
      <c r="I57" t="s" s="1">
        <v>2178</v>
      </c>
      <c r="J57" t="s" s="1">
        <v>3356</v>
      </c>
      <c r="K57" t="s" s="1">
        <v>814</v>
      </c>
      <c r="L57" t="s" s="1">
        <v>840</v>
      </c>
      <c r="M57" t="n" s="5">
        <v>16900.0</v>
      </c>
      <c r="N57" t="n" s="7">
        <v>44291.0</v>
      </c>
      <c r="O57" t="n" s="7">
        <v>44561.0</v>
      </c>
      <c r="P57" t="s" s="1">
        <v>3384</v>
      </c>
    </row>
    <row r="58" spans="1:16">
      <c r="A58" t="n" s="4">
        <v>54</v>
      </c>
      <c r="B58" s="2">
        <f>HYPERLINK("https://my.zakupki.prom.ua/remote/dispatcher/state_purchase_view/25367730", "UA-2021-03-30-001009-b")</f>
        <v/>
      </c>
      <c r="C58" t="s" s="2">
        <v>3102</v>
      </c>
      <c r="D58" s="2">
        <f>HYPERLINK("https://my.zakupki.prom.ua/remote/dispatcher/state_contracting_view/8312427", "UA-2021-03-30-001009-b-b1")</f>
        <v/>
      </c>
      <c r="E58" t="s" s="1">
        <v>393</v>
      </c>
      <c r="F58" t="s" s="1">
        <v>3037</v>
      </c>
      <c r="G58" t="s" s="1">
        <v>2555</v>
      </c>
      <c r="H58" t="s" s="1">
        <v>763</v>
      </c>
      <c r="I58" t="s" s="1">
        <v>2178</v>
      </c>
      <c r="J58" t="s" s="1">
        <v>3353</v>
      </c>
      <c r="K58" t="s" s="1">
        <v>610</v>
      </c>
      <c r="L58" t="s" s="1">
        <v>664</v>
      </c>
      <c r="M58" t="n" s="5">
        <v>76500.0</v>
      </c>
      <c r="N58" t="n" s="7">
        <v>44285.0</v>
      </c>
      <c r="O58" t="n" s="7">
        <v>44561.0</v>
      </c>
      <c r="P58" t="s" s="1">
        <v>3384</v>
      </c>
    </row>
    <row r="59" spans="1:16">
      <c r="A59" t="n" s="4">
        <v>55</v>
      </c>
      <c r="B59" s="2">
        <f>HYPERLINK("https://my.zakupki.prom.ua/remote/dispatcher/state_purchase_view/31747832", "UA-2021-11-12-014606-a")</f>
        <v/>
      </c>
      <c r="C59" t="s" s="2">
        <v>3102</v>
      </c>
      <c r="D59" s="2">
        <f>HYPERLINK("https://my.zakupki.prom.ua/remote/dispatcher/state_contracting_view/11883138", "UA-2021-11-12-014606-a-c1")</f>
        <v/>
      </c>
      <c r="E59" t="s" s="1">
        <v>466</v>
      </c>
      <c r="F59" t="s" s="1">
        <v>2208</v>
      </c>
      <c r="G59" t="s" s="1">
        <v>3312</v>
      </c>
      <c r="H59" t="s" s="1">
        <v>758</v>
      </c>
      <c r="I59" t="s" s="1">
        <v>2142</v>
      </c>
      <c r="J59" t="s" s="1">
        <v>3230</v>
      </c>
      <c r="K59" t="s" s="1">
        <v>1023</v>
      </c>
      <c r="L59" t="s" s="1">
        <v>1647</v>
      </c>
      <c r="M59" t="n" s="5">
        <v>34989.0</v>
      </c>
      <c r="N59" t="n" s="7">
        <v>44543.0</v>
      </c>
      <c r="O59" t="n" s="7">
        <v>44561.0</v>
      </c>
      <c r="P59" t="s" s="1">
        <v>3384</v>
      </c>
    </row>
    <row r="60" spans="1:16">
      <c r="A60" t="n" s="4">
        <v>56</v>
      </c>
      <c r="B60" s="2">
        <f>HYPERLINK("https://my.zakupki.prom.ua/remote/dispatcher/state_purchase_view/24018760", "UA-2021-02-15-007203-c")</f>
        <v/>
      </c>
      <c r="C60" t="s" s="2">
        <v>3102</v>
      </c>
      <c r="D60" s="2">
        <f>HYPERLINK("https://my.zakupki.prom.ua/remote/dispatcher/state_contracting_view/8064131", "UA-2021-02-15-007203-c-c1")</f>
        <v/>
      </c>
      <c r="E60" t="s" s="1">
        <v>1849</v>
      </c>
      <c r="F60" t="s" s="1">
        <v>2250</v>
      </c>
      <c r="G60" t="s" s="1">
        <v>3428</v>
      </c>
      <c r="H60" t="s" s="1">
        <v>245</v>
      </c>
      <c r="I60" t="s" s="1">
        <v>3171</v>
      </c>
      <c r="J60" t="s" s="1">
        <v>3344</v>
      </c>
      <c r="K60" t="s" s="1">
        <v>680</v>
      </c>
      <c r="L60" t="s" s="1">
        <v>351</v>
      </c>
      <c r="M60" t="n" s="5">
        <v>145000.0</v>
      </c>
      <c r="N60" t="n" s="7">
        <v>44267.0</v>
      </c>
      <c r="O60" t="n" s="7">
        <v>44561.0</v>
      </c>
      <c r="P60" t="s" s="1">
        <v>3384</v>
      </c>
    </row>
    <row r="61" spans="1:16">
      <c r="A61" t="n" s="4">
        <v>57</v>
      </c>
      <c r="B61" s="2">
        <f>HYPERLINK("https://my.zakupki.prom.ua/remote/dispatcher/state_purchase_view/29490832", "UA-2021-09-02-009104-a")</f>
        <v/>
      </c>
      <c r="C61" t="s" s="2">
        <v>3102</v>
      </c>
      <c r="D61" s="2">
        <f>HYPERLINK("https://my.zakupki.prom.ua/remote/dispatcher/state_contracting_view/10265313", "UA-2021-09-02-009104-a-a1")</f>
        <v/>
      </c>
      <c r="E61" t="s" s="1">
        <v>1238</v>
      </c>
      <c r="F61" t="s" s="1">
        <v>2219</v>
      </c>
      <c r="G61" t="s" s="1">
        <v>2219</v>
      </c>
      <c r="H61" t="s" s="1">
        <v>1174</v>
      </c>
      <c r="I61" t="s" s="1">
        <v>2178</v>
      </c>
      <c r="J61" t="s" s="1">
        <v>2159</v>
      </c>
      <c r="K61" t="s" s="1">
        <v>64</v>
      </c>
      <c r="L61" t="s" s="1">
        <v>450</v>
      </c>
      <c r="M61" t="n" s="5">
        <v>4617.6</v>
      </c>
      <c r="N61" t="n" s="7">
        <v>44441.0</v>
      </c>
      <c r="O61" t="n" s="7">
        <v>44561.0</v>
      </c>
      <c r="P61" t="s" s="1">
        <v>3384</v>
      </c>
    </row>
    <row r="62" spans="1:16">
      <c r="A62" t="n" s="4">
        <v>58</v>
      </c>
      <c r="B62" s="2">
        <f>HYPERLINK("https://my.zakupki.prom.ua/remote/dispatcher/state_purchase_view/28756544", "UA-2021-08-04-010432-b")</f>
        <v/>
      </c>
      <c r="C62" t="s" s="2">
        <v>3102</v>
      </c>
      <c r="D62" s="2">
        <f>HYPERLINK("https://my.zakupki.prom.ua/remote/dispatcher/state_contracting_view/9922005", "UA-2021-08-04-010432-b-b1")</f>
        <v/>
      </c>
      <c r="E62" t="s" s="1">
        <v>1558</v>
      </c>
      <c r="F62" t="s" s="1">
        <v>2951</v>
      </c>
      <c r="G62" t="s" s="1">
        <v>2950</v>
      </c>
      <c r="H62" t="s" s="1">
        <v>1445</v>
      </c>
      <c r="I62" t="s" s="1">
        <v>2178</v>
      </c>
      <c r="J62" t="s" s="1">
        <v>3293</v>
      </c>
      <c r="K62" t="s" s="1">
        <v>1007</v>
      </c>
      <c r="L62" t="s" s="1">
        <v>380</v>
      </c>
      <c r="M62" t="n" s="5">
        <v>5100.0</v>
      </c>
      <c r="N62" t="n" s="7">
        <v>44412.0</v>
      </c>
      <c r="O62" t="n" s="7">
        <v>44561.0</v>
      </c>
      <c r="P62" t="s" s="1">
        <v>3384</v>
      </c>
    </row>
    <row r="63" spans="1:16">
      <c r="A63" t="n" s="4">
        <v>59</v>
      </c>
      <c r="B63" s="2">
        <f>HYPERLINK("https://my.zakupki.prom.ua/remote/dispatcher/state_purchase_view/32919496", "UA-2021-12-10-011522-c")</f>
        <v/>
      </c>
      <c r="C63" t="s" s="2">
        <v>3102</v>
      </c>
      <c r="D63" s="2">
        <f>HYPERLINK("https://my.zakupki.prom.ua/remote/dispatcher/state_contracting_view/11845580", "UA-2021-12-10-011522-c-c1")</f>
        <v/>
      </c>
      <c r="E63" t="s" s="1">
        <v>1350</v>
      </c>
      <c r="F63" t="s" s="1">
        <v>2580</v>
      </c>
      <c r="G63" t="s" s="1">
        <v>2580</v>
      </c>
      <c r="H63" t="s" s="1">
        <v>774</v>
      </c>
      <c r="I63" t="s" s="1">
        <v>2178</v>
      </c>
      <c r="J63" t="s" s="1">
        <v>3216</v>
      </c>
      <c r="K63" t="s" s="1">
        <v>519</v>
      </c>
      <c r="L63" t="s" s="1">
        <v>1638</v>
      </c>
      <c r="M63" t="n" s="5">
        <v>212.01</v>
      </c>
      <c r="N63" t="n" s="7">
        <v>44538.0</v>
      </c>
      <c r="O63" t="n" s="7">
        <v>44561.0</v>
      </c>
      <c r="P63" t="s" s="1">
        <v>3384</v>
      </c>
    </row>
    <row r="64" spans="1:16">
      <c r="A64" t="n" s="4">
        <v>60</v>
      </c>
      <c r="B64" s="2">
        <f>HYPERLINK("https://my.zakupki.prom.ua/remote/dispatcher/state_purchase_view/32431786", "UA-2021-12-01-006249-c")</f>
        <v/>
      </c>
      <c r="C64" t="s" s="2">
        <v>3102</v>
      </c>
      <c r="D64" s="2">
        <f>HYPERLINK("https://my.zakupki.prom.ua/remote/dispatcher/state_contracting_view/11619799", "UA-2021-12-01-006249-c-c1")</f>
        <v/>
      </c>
      <c r="E64" t="s" s="1">
        <v>43</v>
      </c>
      <c r="F64" t="s" s="1">
        <v>2197</v>
      </c>
      <c r="G64" t="s" s="1">
        <v>3420</v>
      </c>
      <c r="H64" t="s" s="1">
        <v>774</v>
      </c>
      <c r="I64" t="s" s="1">
        <v>2178</v>
      </c>
      <c r="J64" t="s" s="1">
        <v>3239</v>
      </c>
      <c r="K64" t="s" s="1">
        <v>853</v>
      </c>
      <c r="L64" t="s" s="1">
        <v>3322</v>
      </c>
      <c r="M64" t="n" s="5">
        <v>64500.0</v>
      </c>
      <c r="N64" t="n" s="7">
        <v>44531.0</v>
      </c>
      <c r="O64" t="n" s="7">
        <v>44561.0</v>
      </c>
      <c r="P64" t="s" s="1">
        <v>3384</v>
      </c>
    </row>
    <row r="65" spans="1:16">
      <c r="A65" t="n" s="4">
        <v>61</v>
      </c>
      <c r="B65" s="2">
        <f>HYPERLINK("https://my.zakupki.prom.ua/remote/dispatcher/state_purchase_view/33784116", "UA-2021-12-28-007128-c")</f>
        <v/>
      </c>
      <c r="C65" t="s" s="2">
        <v>3102</v>
      </c>
      <c r="D65" s="2">
        <f>HYPERLINK("https://my.zakupki.prom.ua/remote/dispatcher/state_contracting_view/12269414", "UA-2021-12-28-007128-c-c1")</f>
        <v/>
      </c>
      <c r="E65" t="s" s="1">
        <v>1397</v>
      </c>
      <c r="F65" t="s" s="1">
        <v>2587</v>
      </c>
      <c r="G65" t="s" s="1">
        <v>3168</v>
      </c>
      <c r="H65" t="s" s="1">
        <v>774</v>
      </c>
      <c r="I65" t="s" s="1">
        <v>2178</v>
      </c>
      <c r="J65" t="s" s="1">
        <v>3202</v>
      </c>
      <c r="K65" t="s" s="1">
        <v>463</v>
      </c>
      <c r="L65" t="s" s="1">
        <v>793</v>
      </c>
      <c r="M65" t="n" s="5">
        <v>2150.0</v>
      </c>
      <c r="N65" t="n" s="7">
        <v>44554.0</v>
      </c>
      <c r="O65" t="n" s="7">
        <v>44561.0</v>
      </c>
      <c r="P65" t="s" s="1">
        <v>3384</v>
      </c>
    </row>
    <row r="66" spans="1:16">
      <c r="A66" t="n" s="4">
        <v>62</v>
      </c>
      <c r="B66" s="2">
        <f>HYPERLINK("https://my.zakupki.prom.ua/remote/dispatcher/state_purchase_view/30406723", "UA-2021-10-01-004829-b")</f>
        <v/>
      </c>
      <c r="C66" t="s" s="2">
        <v>3102</v>
      </c>
      <c r="D66" s="2">
        <f>HYPERLINK("https://my.zakupki.prom.ua/remote/dispatcher/state_contracting_view/10694528", "UA-2021-10-01-004829-b-b1")</f>
        <v/>
      </c>
      <c r="E66" t="s" s="1">
        <v>1909</v>
      </c>
      <c r="F66" t="s" s="1">
        <v>2698</v>
      </c>
      <c r="G66" t="s" s="1">
        <v>3541</v>
      </c>
      <c r="H66" t="s" s="1">
        <v>774</v>
      </c>
      <c r="I66" t="s" s="1">
        <v>2178</v>
      </c>
      <c r="J66" t="s" s="1">
        <v>3226</v>
      </c>
      <c r="K66" t="s" s="1">
        <v>463</v>
      </c>
      <c r="L66" t="s" s="1">
        <v>602</v>
      </c>
      <c r="M66" t="n" s="5">
        <v>91660.0</v>
      </c>
      <c r="N66" t="n" s="7">
        <v>44469.0</v>
      </c>
      <c r="O66" t="n" s="7">
        <v>44561.0</v>
      </c>
      <c r="P66" t="s" s="1">
        <v>3384</v>
      </c>
    </row>
    <row r="67" spans="1:16">
      <c r="A67" t="n" s="4">
        <v>63</v>
      </c>
      <c r="B67" s="2">
        <f>HYPERLINK("https://my.zakupki.prom.ua/remote/dispatcher/state_purchase_view/26754326", "UA-2021-05-21-001278-b")</f>
        <v/>
      </c>
      <c r="C67" t="s" s="2">
        <v>3102</v>
      </c>
      <c r="D67" s="2">
        <f>HYPERLINK("https://my.zakupki.prom.ua/remote/dispatcher/state_contracting_view/8974708", "UA-2021-05-21-001278-b-b1")</f>
        <v/>
      </c>
      <c r="E67" t="s" s="1">
        <v>833</v>
      </c>
      <c r="F67" t="s" s="1">
        <v>2633</v>
      </c>
      <c r="G67" t="s" s="1">
        <v>3421</v>
      </c>
      <c r="H67" t="s" s="1">
        <v>774</v>
      </c>
      <c r="I67" t="s" s="1">
        <v>2178</v>
      </c>
      <c r="J67" t="s" s="1">
        <v>3277</v>
      </c>
      <c r="K67" t="s" s="1">
        <v>519</v>
      </c>
      <c r="L67" t="s" s="1">
        <v>1246</v>
      </c>
      <c r="M67" t="n" s="5">
        <v>475301.67</v>
      </c>
      <c r="N67" t="n" s="7">
        <v>44337.0</v>
      </c>
      <c r="O67" t="n" s="7">
        <v>44561.0</v>
      </c>
      <c r="P67" t="s" s="1">
        <v>3384</v>
      </c>
    </row>
    <row r="68" spans="1:16">
      <c r="A68" t="n" s="4">
        <v>64</v>
      </c>
      <c r="B68" s="2">
        <f>HYPERLINK("https://my.zakupki.prom.ua/remote/dispatcher/state_purchase_view/30300493", "UA-2021-09-28-005596-b")</f>
        <v/>
      </c>
      <c r="C68" t="s" s="2">
        <v>3102</v>
      </c>
      <c r="D68" s="2">
        <f>HYPERLINK("https://my.zakupki.prom.ua/remote/dispatcher/state_contracting_view/10644862", "UA-2021-09-28-005596-b-b1")</f>
        <v/>
      </c>
      <c r="E68" t="s" s="1">
        <v>296</v>
      </c>
      <c r="F68" t="s" s="1">
        <v>2660</v>
      </c>
      <c r="G68" t="s" s="1">
        <v>2660</v>
      </c>
      <c r="H68" t="s" s="1">
        <v>774</v>
      </c>
      <c r="I68" t="s" s="1">
        <v>2178</v>
      </c>
      <c r="J68" t="s" s="1">
        <v>3206</v>
      </c>
      <c r="K68" t="s" s="1">
        <v>776</v>
      </c>
      <c r="L68" t="s" s="1">
        <v>677</v>
      </c>
      <c r="M68" t="n" s="5">
        <v>968.0</v>
      </c>
      <c r="N68" t="n" s="7">
        <v>44467.0</v>
      </c>
      <c r="O68" t="n" s="7">
        <v>44561.0</v>
      </c>
      <c r="P68" t="s" s="1">
        <v>3384</v>
      </c>
    </row>
    <row r="69" spans="1:16">
      <c r="A69" t="n" s="4">
        <v>65</v>
      </c>
      <c r="B69" s="2">
        <f>HYPERLINK("https://my.zakupki.prom.ua/remote/dispatcher/state_purchase_view/30300029", "UA-2021-09-28-005500-b")</f>
        <v/>
      </c>
      <c r="C69" t="s" s="2">
        <v>3102</v>
      </c>
      <c r="D69" s="2">
        <f>HYPERLINK("https://my.zakupki.prom.ua/remote/dispatcher/state_contracting_view/10644719", "UA-2021-09-28-005500-b-b1")</f>
        <v/>
      </c>
      <c r="E69" t="s" s="1">
        <v>2043</v>
      </c>
      <c r="F69" t="s" s="1">
        <v>2663</v>
      </c>
      <c r="G69" t="s" s="1">
        <v>2663</v>
      </c>
      <c r="H69" t="s" s="1">
        <v>774</v>
      </c>
      <c r="I69" t="s" s="1">
        <v>2178</v>
      </c>
      <c r="J69" t="s" s="1">
        <v>3208</v>
      </c>
      <c r="K69" t="s" s="1">
        <v>776</v>
      </c>
      <c r="L69" t="s" s="1">
        <v>676</v>
      </c>
      <c r="M69" t="n" s="5">
        <v>2550.0</v>
      </c>
      <c r="N69" t="n" s="7">
        <v>44467.0</v>
      </c>
      <c r="O69" t="n" s="7">
        <v>44561.0</v>
      </c>
      <c r="P69" t="s" s="1">
        <v>3384</v>
      </c>
    </row>
    <row r="70" spans="1:16">
      <c r="A70" t="n" s="4">
        <v>66</v>
      </c>
      <c r="B70" s="2">
        <f>HYPERLINK("https://my.zakupki.prom.ua/remote/dispatcher/state_purchase_view/25239578", "UA-2021-03-25-005906-b")</f>
        <v/>
      </c>
      <c r="C70" t="s" s="2">
        <v>3102</v>
      </c>
      <c r="D70" s="2">
        <f>HYPERLINK("https://my.zakupki.prom.ua/remote/dispatcher/state_contracting_view/8273530", "UA-2021-03-25-005906-b-b1")</f>
        <v/>
      </c>
      <c r="E70" t="s" s="1">
        <v>1153</v>
      </c>
      <c r="F70" t="s" s="1">
        <v>2729</v>
      </c>
      <c r="G70" t="s" s="1">
        <v>2730</v>
      </c>
      <c r="H70" t="s" s="1">
        <v>807</v>
      </c>
      <c r="I70" t="s" s="1">
        <v>2178</v>
      </c>
      <c r="J70" t="s" s="1">
        <v>3126</v>
      </c>
      <c r="K70" t="s" s="1">
        <v>564</v>
      </c>
      <c r="L70" t="s" s="1">
        <v>589</v>
      </c>
      <c r="M70" t="n" s="5">
        <v>24075.0</v>
      </c>
      <c r="N70" t="n" s="7">
        <v>44280.0</v>
      </c>
      <c r="O70" t="n" s="7">
        <v>44561.0</v>
      </c>
      <c r="P70" t="s" s="1">
        <v>3384</v>
      </c>
    </row>
    <row r="71" spans="1:16">
      <c r="A71" t="n" s="4">
        <v>67</v>
      </c>
      <c r="B71" s="2">
        <f>HYPERLINK("https://my.zakupki.prom.ua/remote/dispatcher/state_purchase_view/24741024", "UA-2021-03-10-004681-b")</f>
        <v/>
      </c>
      <c r="C71" t="s" s="2">
        <v>3102</v>
      </c>
      <c r="D71" s="2">
        <f>HYPERLINK("https://my.zakupki.prom.ua/remote/dispatcher/state_contracting_view/8012777", "UA-2021-03-10-004681-b-b1")</f>
        <v/>
      </c>
      <c r="E71" t="s" s="1">
        <v>1905</v>
      </c>
      <c r="F71" t="s" s="1">
        <v>2644</v>
      </c>
      <c r="G71" t="s" s="1">
        <v>2644</v>
      </c>
      <c r="H71" t="s" s="1">
        <v>774</v>
      </c>
      <c r="I71" t="s" s="1">
        <v>2178</v>
      </c>
      <c r="J71" t="s" s="1">
        <v>3131</v>
      </c>
      <c r="K71" t="s" s="1">
        <v>658</v>
      </c>
      <c r="L71" t="s" s="1">
        <v>429</v>
      </c>
      <c r="M71" t="n" s="5">
        <v>23400.0</v>
      </c>
      <c r="N71" t="n" s="7">
        <v>44261.0</v>
      </c>
      <c r="O71" t="n" s="7">
        <v>44561.0</v>
      </c>
      <c r="P71" t="s" s="1">
        <v>3384</v>
      </c>
    </row>
    <row r="72" spans="1:16">
      <c r="A72" t="n" s="4">
        <v>68</v>
      </c>
      <c r="B72" s="2">
        <f>HYPERLINK("https://my.zakupki.prom.ua/remote/dispatcher/state_purchase_view/23994520", "UA-2021-02-15-000475-c")</f>
        <v/>
      </c>
      <c r="C72" t="s" s="2">
        <v>3102</v>
      </c>
      <c r="D72" s="2">
        <f>HYPERLINK("https://my.zakupki.prom.ua/remote/dispatcher/state_contracting_view/7663913", "UA-2021-02-15-000475-c-c1")</f>
        <v/>
      </c>
      <c r="E72" t="s" s="1">
        <v>1783</v>
      </c>
      <c r="F72" t="s" s="1">
        <v>2639</v>
      </c>
      <c r="G72" t="s" s="1">
        <v>3433</v>
      </c>
      <c r="H72" t="s" s="1">
        <v>774</v>
      </c>
      <c r="I72" t="s" s="1">
        <v>2178</v>
      </c>
      <c r="J72" t="s" s="1">
        <v>3131</v>
      </c>
      <c r="K72" t="s" s="1">
        <v>658</v>
      </c>
      <c r="L72" t="s" s="1">
        <v>1740</v>
      </c>
      <c r="M72" t="n" s="5">
        <v>9568.7</v>
      </c>
      <c r="N72" t="n" s="7">
        <v>44239.0</v>
      </c>
      <c r="O72" t="n" s="7">
        <v>44561.0</v>
      </c>
      <c r="P72" t="s" s="1">
        <v>3384</v>
      </c>
    </row>
    <row r="73" spans="1:16">
      <c r="A73" t="n" s="4">
        <v>69</v>
      </c>
      <c r="B73" s="2">
        <f>HYPERLINK("https://my.zakupki.prom.ua/remote/dispatcher/state_purchase_view/25659827", "UA-2021-04-08-004934-a")</f>
        <v/>
      </c>
      <c r="C73" t="s" s="2">
        <v>3102</v>
      </c>
      <c r="D73" s="2">
        <f>HYPERLINK("https://my.zakupki.prom.ua/remote/dispatcher/state_contracting_view/8450944", "UA-2021-04-08-004934-a-a1")</f>
        <v/>
      </c>
      <c r="E73" t="s" s="1">
        <v>546</v>
      </c>
      <c r="F73" t="s" s="1">
        <v>2613</v>
      </c>
      <c r="G73" t="s" s="1">
        <v>3376</v>
      </c>
      <c r="H73" t="s" s="1">
        <v>774</v>
      </c>
      <c r="I73" t="s" s="1">
        <v>2178</v>
      </c>
      <c r="J73" t="s" s="1">
        <v>3131</v>
      </c>
      <c r="K73" t="s" s="1">
        <v>658</v>
      </c>
      <c r="L73" t="s" s="1">
        <v>527</v>
      </c>
      <c r="M73" t="n" s="5">
        <v>18626.0</v>
      </c>
      <c r="N73" t="n" s="7">
        <v>44294.0</v>
      </c>
      <c r="O73" t="n" s="7">
        <v>44561.0</v>
      </c>
      <c r="P73" t="s" s="1">
        <v>3384</v>
      </c>
    </row>
    <row r="74" spans="1:16">
      <c r="A74" t="n" s="4">
        <v>70</v>
      </c>
      <c r="B74" s="2">
        <f>HYPERLINK("https://my.zakupki.prom.ua/remote/dispatcher/state_purchase_view/25859363", "UA-2021-04-15-008654-b")</f>
        <v/>
      </c>
      <c r="C74" t="s" s="2">
        <v>3102</v>
      </c>
      <c r="D74" s="2">
        <f>HYPERLINK("https://my.zakupki.prom.ua/remote/dispatcher/state_contracting_view/8546682", "UA-2021-04-15-008654-b-b1")</f>
        <v/>
      </c>
      <c r="E74" t="s" s="1">
        <v>1883</v>
      </c>
      <c r="F74" t="s" s="1">
        <v>2610</v>
      </c>
      <c r="G74" t="s" s="1">
        <v>3367</v>
      </c>
      <c r="H74" t="s" s="1">
        <v>774</v>
      </c>
      <c r="I74" t="s" s="1">
        <v>2178</v>
      </c>
      <c r="J74" t="s" s="1">
        <v>3266</v>
      </c>
      <c r="K74" t="s" s="1">
        <v>936</v>
      </c>
      <c r="L74" t="s" s="1">
        <v>987</v>
      </c>
      <c r="M74" t="n" s="5">
        <v>229595.0</v>
      </c>
      <c r="N74" t="n" s="7">
        <v>44299.0</v>
      </c>
      <c r="O74" t="n" s="7">
        <v>44561.0</v>
      </c>
      <c r="P74" t="s" s="1">
        <v>3384</v>
      </c>
    </row>
    <row r="75" spans="1:16">
      <c r="A75" t="n" s="4">
        <v>71</v>
      </c>
      <c r="B75" s="2">
        <f>HYPERLINK("https://my.zakupki.prom.ua/remote/dispatcher/state_purchase_view/24967218", "UA-2021-03-17-002388-c")</f>
        <v/>
      </c>
      <c r="C75" t="s" s="2">
        <v>3102</v>
      </c>
      <c r="D75" s="2">
        <f>HYPERLINK("https://my.zakupki.prom.ua/remote/dispatcher/state_contracting_view/8121356", "UA-2021-03-17-002388-c-c1")</f>
        <v/>
      </c>
      <c r="E75" t="s" s="1">
        <v>1742</v>
      </c>
      <c r="F75" t="s" s="1">
        <v>2478</v>
      </c>
      <c r="G75" t="s" s="1">
        <v>3155</v>
      </c>
      <c r="H75" t="s" s="1">
        <v>758</v>
      </c>
      <c r="I75" t="s" s="1">
        <v>2178</v>
      </c>
      <c r="J75" t="s" s="1">
        <v>2125</v>
      </c>
      <c r="K75" t="s" s="1">
        <v>627</v>
      </c>
      <c r="L75" t="s" s="1">
        <v>465</v>
      </c>
      <c r="M75" t="n" s="5">
        <v>70160.0</v>
      </c>
      <c r="N75" t="n" s="7">
        <v>44272.0</v>
      </c>
      <c r="O75" t="n" s="7">
        <v>44561.0</v>
      </c>
      <c r="P75" t="s" s="1">
        <v>3384</v>
      </c>
    </row>
    <row r="76" spans="1:16">
      <c r="A76" t="n" s="4">
        <v>72</v>
      </c>
      <c r="B76" s="2">
        <f>HYPERLINK("https://my.zakupki.prom.ua/remote/dispatcher/state_purchase_view/23345639", "UA-2021-01-27-011299-b")</f>
        <v/>
      </c>
      <c r="C76" t="s" s="2">
        <v>3102</v>
      </c>
      <c r="D76" s="2">
        <f>HYPERLINK("https://my.zakupki.prom.ua/remote/dispatcher/state_contracting_view/8225756", "UA-2021-01-27-011299-b-b2")</f>
        <v/>
      </c>
      <c r="E76" t="s" s="1">
        <v>1811</v>
      </c>
      <c r="F76" t="s" s="1">
        <v>2231</v>
      </c>
      <c r="G76" t="s" s="1">
        <v>3364</v>
      </c>
      <c r="H76" t="s" s="1">
        <v>97</v>
      </c>
      <c r="I76" t="s" s="1">
        <v>2142</v>
      </c>
      <c r="J76" t="s" s="1">
        <v>3104</v>
      </c>
      <c r="K76" t="s" s="1">
        <v>845</v>
      </c>
      <c r="L76" t="s" s="1">
        <v>1122</v>
      </c>
      <c r="M76" t="n" s="5">
        <v>283800.0</v>
      </c>
      <c r="N76" t="n" s="7">
        <v>44278.0</v>
      </c>
      <c r="O76" t="n" s="7">
        <v>44561.0</v>
      </c>
      <c r="P76" t="s" s="1">
        <v>3384</v>
      </c>
    </row>
    <row r="77" spans="1:16">
      <c r="A77" t="n" s="4">
        <v>73</v>
      </c>
      <c r="B77" s="2">
        <f>HYPERLINK("https://my.zakupki.prom.ua/remote/dispatcher/state_purchase_view/30276432", "UA-2021-09-27-011302-b")</f>
        <v/>
      </c>
      <c r="C77" t="s" s="2">
        <v>3102</v>
      </c>
      <c r="D77" s="2">
        <f>HYPERLINK("https://my.zakupki.prom.ua/remote/dispatcher/state_contracting_view/10627641", "UA-2021-09-27-011302-b-b1")</f>
        <v/>
      </c>
      <c r="E77" t="s" s="1">
        <v>808</v>
      </c>
      <c r="F77" t="s" s="1">
        <v>3034</v>
      </c>
      <c r="G77" t="s" s="1">
        <v>3034</v>
      </c>
      <c r="H77" t="s" s="1">
        <v>1758</v>
      </c>
      <c r="I77" t="s" s="1">
        <v>2178</v>
      </c>
      <c r="J77" t="s" s="1">
        <v>3271</v>
      </c>
      <c r="K77" t="s" s="1">
        <v>694</v>
      </c>
      <c r="L77" t="s" s="1">
        <v>413</v>
      </c>
      <c r="M77" t="n" s="5">
        <v>4800.0</v>
      </c>
      <c r="N77" t="n" s="7">
        <v>44466.0</v>
      </c>
      <c r="O77" t="n" s="7">
        <v>44561.0</v>
      </c>
      <c r="P77" t="s" s="1">
        <v>3384</v>
      </c>
    </row>
    <row r="78" spans="1:16">
      <c r="A78" t="n" s="4">
        <v>74</v>
      </c>
      <c r="B78" s="2">
        <f>HYPERLINK("https://my.zakupki.prom.ua/remote/dispatcher/state_purchase_view/29910931", "UA-2021-09-16-002206-b")</f>
        <v/>
      </c>
      <c r="C78" t="s" s="2">
        <v>3102</v>
      </c>
      <c r="D78" s="2">
        <f>HYPERLINK("https://my.zakupki.prom.ua/remote/dispatcher/state_contracting_view/10460293", "UA-2021-09-16-002206-b-b1")</f>
        <v/>
      </c>
      <c r="E78" t="s" s="1">
        <v>1488</v>
      </c>
      <c r="F78" t="s" s="1">
        <v>2989</v>
      </c>
      <c r="G78" t="s" s="1">
        <v>2989</v>
      </c>
      <c r="H78" t="s" s="1">
        <v>1573</v>
      </c>
      <c r="I78" t="s" s="1">
        <v>2178</v>
      </c>
      <c r="J78" t="s" s="1">
        <v>3252</v>
      </c>
      <c r="K78" t="s" s="1">
        <v>863</v>
      </c>
      <c r="L78" t="s" s="1">
        <v>1101</v>
      </c>
      <c r="M78" t="n" s="5">
        <v>1570.0</v>
      </c>
      <c r="N78" t="n" s="7">
        <v>44455.0</v>
      </c>
      <c r="O78" t="n" s="7">
        <v>44561.0</v>
      </c>
      <c r="P78" t="s" s="1">
        <v>3384</v>
      </c>
    </row>
    <row r="79" spans="1:16">
      <c r="A79" t="n" s="4">
        <v>75</v>
      </c>
      <c r="B79" s="2">
        <f>HYPERLINK("https://my.zakupki.prom.ua/remote/dispatcher/state_purchase_view/29982264", "UA-2021-09-17-009555-b")</f>
        <v/>
      </c>
      <c r="C79" t="s" s="2">
        <v>3102</v>
      </c>
      <c r="D79" s="2">
        <f>HYPERLINK("https://my.zakupki.prom.ua/remote/dispatcher/state_contracting_view/10565971", "UA-2021-09-17-009555-b-b1")</f>
        <v/>
      </c>
      <c r="E79" t="s" s="1">
        <v>1071</v>
      </c>
      <c r="F79" t="s" s="1">
        <v>2933</v>
      </c>
      <c r="G79" t="s" s="1">
        <v>2932</v>
      </c>
      <c r="H79" t="s" s="1">
        <v>1317</v>
      </c>
      <c r="I79" t="s" s="1">
        <v>3143</v>
      </c>
      <c r="J79" t="s" s="1">
        <v>3271</v>
      </c>
      <c r="K79" t="s" s="1">
        <v>694</v>
      </c>
      <c r="L79" t="s" s="1">
        <v>417</v>
      </c>
      <c r="M79" t="n" s="5">
        <v>300960.0</v>
      </c>
      <c r="N79" t="n" s="7">
        <v>44462.0</v>
      </c>
      <c r="O79" t="n" s="7">
        <v>44561.0</v>
      </c>
      <c r="P79" t="s" s="1">
        <v>3384</v>
      </c>
    </row>
    <row r="80" spans="1:16">
      <c r="A80" t="n" s="4">
        <v>76</v>
      </c>
      <c r="B80" s="2">
        <f>HYPERLINK("https://my.zakupki.prom.ua/remote/dispatcher/state_purchase_view/29284515", "UA-2021-08-26-009659-a")</f>
        <v/>
      </c>
      <c r="C80" t="s" s="2">
        <v>3102</v>
      </c>
      <c r="D80" s="2">
        <f>HYPERLINK("https://my.zakupki.prom.ua/remote/dispatcher/state_contracting_view/10169066", "UA-2021-08-26-009659-a-a1")</f>
        <v/>
      </c>
      <c r="E80" t="s" s="1">
        <v>113</v>
      </c>
      <c r="F80" t="s" s="1">
        <v>2993</v>
      </c>
      <c r="G80" t="s" s="1">
        <v>2993</v>
      </c>
      <c r="H80" t="s" s="1">
        <v>1573</v>
      </c>
      <c r="I80" t="s" s="1">
        <v>2178</v>
      </c>
      <c r="J80" t="s" s="1">
        <v>2161</v>
      </c>
      <c r="K80" t="s" s="1">
        <v>10</v>
      </c>
      <c r="L80" t="s" s="1">
        <v>1376</v>
      </c>
      <c r="M80" t="n" s="5">
        <v>4518.42</v>
      </c>
      <c r="N80" t="n" s="7">
        <v>44434.0</v>
      </c>
      <c r="O80" t="n" s="7">
        <v>44561.0</v>
      </c>
      <c r="P80" t="s" s="1">
        <v>3384</v>
      </c>
    </row>
    <row r="81" spans="1:16">
      <c r="A81" t="n" s="4">
        <v>77</v>
      </c>
      <c r="B81" s="2">
        <f>HYPERLINK("https://my.zakupki.prom.ua/remote/dispatcher/state_purchase_view/27159518", "UA-2021-06-03-009951-b")</f>
        <v/>
      </c>
      <c r="C81" t="s" s="2">
        <v>3102</v>
      </c>
      <c r="D81" s="2">
        <f>HYPERLINK("https://my.zakupki.prom.ua/remote/dispatcher/state_contracting_view/9167732", "UA-2021-06-03-009951-b-b1")</f>
        <v/>
      </c>
      <c r="E81" t="s" s="1">
        <v>1263</v>
      </c>
      <c r="F81" t="s" s="1">
        <v>2949</v>
      </c>
      <c r="G81" t="s" s="1">
        <v>2949</v>
      </c>
      <c r="H81" t="s" s="1">
        <v>1445</v>
      </c>
      <c r="I81" t="s" s="1">
        <v>2178</v>
      </c>
      <c r="J81" t="s" s="1">
        <v>3293</v>
      </c>
      <c r="K81" t="s" s="1">
        <v>1007</v>
      </c>
      <c r="L81" t="s" s="1">
        <v>336</v>
      </c>
      <c r="M81" t="n" s="5">
        <v>5100.0</v>
      </c>
      <c r="N81" t="n" s="7">
        <v>44350.0</v>
      </c>
      <c r="O81" t="n" s="7">
        <v>44561.0</v>
      </c>
      <c r="P81" t="s" s="1">
        <v>3384</v>
      </c>
    </row>
    <row r="82" spans="1:16">
      <c r="A82" t="n" s="4">
        <v>78</v>
      </c>
      <c r="B82" s="2">
        <f>HYPERLINK("https://my.zakupki.prom.ua/remote/dispatcher/state_purchase_view/23771742", "UA-2021-02-08-009022-a")</f>
        <v/>
      </c>
      <c r="C82" t="s" s="2">
        <v>3102</v>
      </c>
      <c r="D82" s="2">
        <f>HYPERLINK("https://my.zakupki.prom.ua/remote/dispatcher/state_contracting_view/7558401", "UA-2021-02-08-009022-a-a1")</f>
        <v/>
      </c>
      <c r="E82" t="s" s="1">
        <v>1876</v>
      </c>
      <c r="F82" t="s" s="1">
        <v>2260</v>
      </c>
      <c r="G82" t="s" s="1">
        <v>3500</v>
      </c>
      <c r="H82" t="s" s="1">
        <v>253</v>
      </c>
      <c r="I82" t="s" s="1">
        <v>2178</v>
      </c>
      <c r="J82" t="s" s="1">
        <v>3356</v>
      </c>
      <c r="K82" t="s" s="1">
        <v>814</v>
      </c>
      <c r="L82" t="s" s="1">
        <v>1617</v>
      </c>
      <c r="M82" t="n" s="5">
        <v>10000.0</v>
      </c>
      <c r="N82" t="n" s="7">
        <v>44235.0</v>
      </c>
      <c r="O82" t="n" s="7">
        <v>44561.0</v>
      </c>
      <c r="P82" t="s" s="1">
        <v>3384</v>
      </c>
    </row>
    <row r="83" spans="1:16">
      <c r="A83" t="n" s="4">
        <v>79</v>
      </c>
      <c r="B83" s="2">
        <f>HYPERLINK("https://my.zakupki.prom.ua/remote/dispatcher/state_purchase_view/22933140", "UA-2021-01-13-001860-a")</f>
        <v/>
      </c>
      <c r="C83" t="s" s="2">
        <v>3102</v>
      </c>
      <c r="D83" s="2">
        <f>HYPERLINK("https://my.zakupki.prom.ua/remote/dispatcher/state_contracting_view/7214327", "UA-2021-01-13-001860-a-a1")</f>
        <v/>
      </c>
      <c r="E83" t="s" s="1">
        <v>26</v>
      </c>
      <c r="F83" t="s" s="1">
        <v>2236</v>
      </c>
      <c r="G83" t="s" s="1">
        <v>2236</v>
      </c>
      <c r="H83" t="s" s="1">
        <v>98</v>
      </c>
      <c r="I83" t="s" s="1">
        <v>2178</v>
      </c>
      <c r="J83" t="s" s="1">
        <v>3112</v>
      </c>
      <c r="K83" t="s" s="1">
        <v>802</v>
      </c>
      <c r="L83" t="s" s="1">
        <v>161</v>
      </c>
      <c r="M83" t="n" s="5">
        <v>370.55</v>
      </c>
      <c r="N83" t="n" s="7">
        <v>44209.0</v>
      </c>
      <c r="O83" t="n" s="7">
        <v>44561.0</v>
      </c>
      <c r="P83" t="s" s="1">
        <v>3384</v>
      </c>
    </row>
    <row r="84" spans="1:16">
      <c r="A84" t="n" s="4">
        <v>80</v>
      </c>
      <c r="B84" s="2">
        <f>HYPERLINK("https://my.zakupki.prom.ua/remote/dispatcher/state_purchase_view/25164508", "UA-2021-03-23-002128-b")</f>
        <v/>
      </c>
      <c r="C84" t="s" s="2">
        <v>3102</v>
      </c>
      <c r="D84" s="2">
        <f>HYPERLINK("https://my.zakupki.prom.ua/remote/dispatcher/state_contracting_view/8220473", "UA-2021-03-23-002128-b-b1")</f>
        <v/>
      </c>
      <c r="E84" t="s" s="1">
        <v>632</v>
      </c>
      <c r="F84" t="s" s="1">
        <v>2487</v>
      </c>
      <c r="G84" t="s" s="1">
        <v>2487</v>
      </c>
      <c r="H84" t="s" s="1">
        <v>758</v>
      </c>
      <c r="I84" t="s" s="1">
        <v>2178</v>
      </c>
      <c r="J84" t="s" s="1">
        <v>3111</v>
      </c>
      <c r="K84" t="s" s="1">
        <v>513</v>
      </c>
      <c r="L84" t="s" s="1">
        <v>568</v>
      </c>
      <c r="M84" t="n" s="5">
        <v>6000.0</v>
      </c>
      <c r="N84" t="n" s="7">
        <v>44278.0</v>
      </c>
      <c r="O84" t="n" s="7">
        <v>44561.0</v>
      </c>
      <c r="P84" t="s" s="1">
        <v>3384</v>
      </c>
    </row>
    <row r="85" spans="1:16">
      <c r="A85" t="n" s="4">
        <v>81</v>
      </c>
      <c r="B85" s="2">
        <f>HYPERLINK("https://my.zakupki.prom.ua/remote/dispatcher/state_purchase_view/26233284", "UA-2021-04-28-004417-a")</f>
        <v/>
      </c>
      <c r="C85" t="s" s="2">
        <v>3102</v>
      </c>
      <c r="D85" s="2">
        <f>HYPERLINK("https://my.zakupki.prom.ua/remote/dispatcher/state_contracting_view/8734237", "UA-2021-04-28-004417-a-a1")</f>
        <v/>
      </c>
      <c r="E85" t="s" s="1">
        <v>1968</v>
      </c>
      <c r="F85" t="s" s="1">
        <v>2437</v>
      </c>
      <c r="G85" t="s" s="1">
        <v>2437</v>
      </c>
      <c r="H85" t="s" s="1">
        <v>703</v>
      </c>
      <c r="I85" t="s" s="1">
        <v>2178</v>
      </c>
      <c r="J85" t="s" s="1">
        <v>3309</v>
      </c>
      <c r="K85" t="s" s="1">
        <v>611</v>
      </c>
      <c r="L85" t="s" s="1">
        <v>3185</v>
      </c>
      <c r="M85" t="n" s="5">
        <v>504.0</v>
      </c>
      <c r="N85" t="n" s="7">
        <v>44314.0</v>
      </c>
      <c r="O85" t="n" s="7">
        <v>44561.0</v>
      </c>
      <c r="P85" t="s" s="1">
        <v>3384</v>
      </c>
    </row>
    <row r="86" spans="1:16">
      <c r="A86" t="n" s="4">
        <v>82</v>
      </c>
      <c r="B86" s="2">
        <f>HYPERLINK("https://my.zakupki.prom.ua/remote/dispatcher/state_purchase_view/25635820", "UA-2021-04-08-002439-b")</f>
        <v/>
      </c>
      <c r="C86" t="s" s="2">
        <v>3102</v>
      </c>
      <c r="D86" s="2">
        <f>HYPERLINK("https://my.zakupki.prom.ua/remote/dispatcher/state_contracting_view/8443671", "UA-2021-04-08-002439-b-b1")</f>
        <v/>
      </c>
      <c r="E86" t="s" s="1">
        <v>1881</v>
      </c>
      <c r="F86" t="s" s="1">
        <v>2419</v>
      </c>
      <c r="G86" t="s" s="1">
        <v>2419</v>
      </c>
      <c r="H86" t="s" s="1">
        <v>692</v>
      </c>
      <c r="I86" t="s" s="1">
        <v>2178</v>
      </c>
      <c r="J86" t="s" s="1">
        <v>3112</v>
      </c>
      <c r="K86" t="s" s="1">
        <v>802</v>
      </c>
      <c r="L86" t="s" s="1">
        <v>367</v>
      </c>
      <c r="M86" t="n" s="5">
        <v>282.0</v>
      </c>
      <c r="N86" t="n" s="7">
        <v>44294.0</v>
      </c>
      <c r="O86" t="n" s="7">
        <v>44561.0</v>
      </c>
      <c r="P86" t="s" s="1">
        <v>3384</v>
      </c>
    </row>
    <row r="87" spans="1:16">
      <c r="A87" t="n" s="4">
        <v>83</v>
      </c>
      <c r="B87" s="2">
        <f>HYPERLINK("https://my.zakupki.prom.ua/remote/dispatcher/state_purchase_view/25060075", "UA-2021-03-19-000927-b")</f>
        <v/>
      </c>
      <c r="C87" t="s" s="2">
        <v>3102</v>
      </c>
      <c r="D87" s="2">
        <f>HYPERLINK("https://my.zakupki.prom.ua/remote/dispatcher/state_contracting_view/8165693", "UA-2021-03-19-000927-b-b1")</f>
        <v/>
      </c>
      <c r="E87" t="s" s="1">
        <v>1841</v>
      </c>
      <c r="F87" t="s" s="1">
        <v>2268</v>
      </c>
      <c r="G87" t="s" s="1">
        <v>2267</v>
      </c>
      <c r="H87" t="s" s="1">
        <v>259</v>
      </c>
      <c r="I87" t="s" s="1">
        <v>2178</v>
      </c>
      <c r="J87" t="s" s="1">
        <v>3356</v>
      </c>
      <c r="K87" t="s" s="1">
        <v>814</v>
      </c>
      <c r="L87" t="s" s="1">
        <v>505</v>
      </c>
      <c r="M87" t="n" s="5">
        <v>25900.0</v>
      </c>
      <c r="N87" t="n" s="7">
        <v>44272.0</v>
      </c>
      <c r="O87" t="n" s="7">
        <v>44561.0</v>
      </c>
      <c r="P87" t="s" s="1">
        <v>3384</v>
      </c>
    </row>
    <row r="88" spans="1:16">
      <c r="A88" t="n" s="4">
        <v>84</v>
      </c>
      <c r="B88" s="2">
        <f>HYPERLINK("https://my.zakupki.prom.ua/remote/dispatcher/state_purchase_view/27155027", "UA-2021-06-03-008596-b")</f>
        <v/>
      </c>
      <c r="C88" t="s" s="2">
        <v>3102</v>
      </c>
      <c r="D88" s="2">
        <f>HYPERLINK("https://my.zakupki.prom.ua/remote/dispatcher/state_contracting_view/9522681", "UA-2021-06-03-008596-b-c1")</f>
        <v/>
      </c>
      <c r="E88" t="s" s="1">
        <v>1877</v>
      </c>
      <c r="F88" t="s" s="1">
        <v>2256</v>
      </c>
      <c r="G88" t="s" s="1">
        <v>2256</v>
      </c>
      <c r="H88" t="s" s="1">
        <v>252</v>
      </c>
      <c r="I88" t="s" s="1">
        <v>3171</v>
      </c>
      <c r="J88" t="s" s="1">
        <v>3338</v>
      </c>
      <c r="K88" t="s" s="1">
        <v>797</v>
      </c>
      <c r="L88" t="s" s="1">
        <v>1338</v>
      </c>
      <c r="M88" t="n" s="5">
        <v>44900.0</v>
      </c>
      <c r="N88" t="n" s="7">
        <v>44379.0</v>
      </c>
      <c r="O88" t="n" s="7">
        <v>44561.0</v>
      </c>
      <c r="P88" t="s" s="1">
        <v>3384</v>
      </c>
    </row>
    <row r="89" spans="1:16">
      <c r="A89" t="n" s="4">
        <v>85</v>
      </c>
      <c r="B89" s="2">
        <f>HYPERLINK("https://my.zakupki.prom.ua/remote/dispatcher/state_purchase_view/27770999", "UA-2021-06-25-001663-c")</f>
        <v/>
      </c>
      <c r="C89" t="s" s="2">
        <v>3102</v>
      </c>
      <c r="D89" s="2">
        <f>HYPERLINK("https://my.zakupki.prom.ua/remote/dispatcher/state_contracting_view/9465814", "UA-2021-06-25-001663-c-c1")</f>
        <v/>
      </c>
      <c r="E89" t="s" s="1">
        <v>1896</v>
      </c>
      <c r="F89" t="s" s="1">
        <v>2874</v>
      </c>
      <c r="G89" t="s" s="1">
        <v>2874</v>
      </c>
      <c r="H89" t="s" s="1">
        <v>1078</v>
      </c>
      <c r="I89" t="s" s="1">
        <v>2178</v>
      </c>
      <c r="J89" t="s" s="1">
        <v>3112</v>
      </c>
      <c r="K89" t="s" s="1">
        <v>802</v>
      </c>
      <c r="L89" t="s" s="1">
        <v>46</v>
      </c>
      <c r="M89" t="n" s="5">
        <v>375.5</v>
      </c>
      <c r="N89" t="n" s="7">
        <v>44372.0</v>
      </c>
      <c r="O89" t="n" s="7">
        <v>44561.0</v>
      </c>
      <c r="P89" t="s" s="1">
        <v>3384</v>
      </c>
    </row>
    <row r="90" spans="1:16">
      <c r="A90" t="n" s="4">
        <v>86</v>
      </c>
      <c r="B90" s="2">
        <f>HYPERLINK("https://my.zakupki.prom.ua/remote/dispatcher/state_purchase_view/27776891", "UA-2021-06-25-003436-c")</f>
        <v/>
      </c>
      <c r="C90" t="s" s="2">
        <v>3102</v>
      </c>
      <c r="D90" s="2">
        <f>HYPERLINK("https://my.zakupki.prom.ua/remote/dispatcher/state_contracting_view/9465316", "UA-2021-06-25-003436-c-c1")</f>
        <v/>
      </c>
      <c r="E90" t="s" s="1">
        <v>896</v>
      </c>
      <c r="F90" t="s" s="1">
        <v>2801</v>
      </c>
      <c r="G90" t="s" s="1">
        <v>2801</v>
      </c>
      <c r="H90" t="s" s="1">
        <v>1008</v>
      </c>
      <c r="I90" t="s" s="1">
        <v>2178</v>
      </c>
      <c r="J90" t="s" s="1">
        <v>3112</v>
      </c>
      <c r="K90" t="s" s="1">
        <v>802</v>
      </c>
      <c r="L90" t="s" s="1">
        <v>340</v>
      </c>
      <c r="M90" t="n" s="5">
        <v>215.3</v>
      </c>
      <c r="N90" t="n" s="7">
        <v>44372.0</v>
      </c>
      <c r="O90" t="n" s="7">
        <v>44561.0</v>
      </c>
      <c r="P90" t="s" s="1">
        <v>3384</v>
      </c>
    </row>
    <row r="91" spans="1:16">
      <c r="A91" t="n" s="4">
        <v>87</v>
      </c>
      <c r="B91" s="2">
        <f>HYPERLINK("https://my.zakupki.prom.ua/remote/dispatcher/state_purchase_view/27352369", "UA-2021-06-10-003319-b")</f>
        <v/>
      </c>
      <c r="C91" t="s" s="2">
        <v>3102</v>
      </c>
      <c r="D91" s="2">
        <f>HYPERLINK("https://my.zakupki.prom.ua/remote/dispatcher/state_contracting_view/9259238", "UA-2021-06-10-003319-b-b1")</f>
        <v/>
      </c>
      <c r="E91" t="s" s="1">
        <v>1963</v>
      </c>
      <c r="F91" t="s" s="1">
        <v>2384</v>
      </c>
      <c r="G91" t="s" s="1">
        <v>3388</v>
      </c>
      <c r="H91" t="s" s="1">
        <v>536</v>
      </c>
      <c r="I91" t="s" s="1">
        <v>2178</v>
      </c>
      <c r="J91" t="s" s="1">
        <v>3306</v>
      </c>
      <c r="K91" t="s" s="1">
        <v>996</v>
      </c>
      <c r="L91" t="s" s="1">
        <v>3058</v>
      </c>
      <c r="M91" t="n" s="5">
        <v>7215.0</v>
      </c>
      <c r="N91" t="n" s="7">
        <v>44357.0</v>
      </c>
      <c r="O91" t="n" s="7">
        <v>44561.0</v>
      </c>
      <c r="P91" t="s" s="1">
        <v>3384</v>
      </c>
    </row>
    <row r="92" spans="1:16">
      <c r="A92" t="n" s="4">
        <v>88</v>
      </c>
      <c r="B92" s="2">
        <f>HYPERLINK("https://my.zakupki.prom.ua/remote/dispatcher/state_purchase_view/31257278", "UA-2021-10-29-007887-a")</f>
        <v/>
      </c>
      <c r="C92" t="s" s="2">
        <v>3102</v>
      </c>
      <c r="D92" s="2">
        <f>HYPERLINK("https://my.zakupki.prom.ua/remote/dispatcher/state_contracting_view/11078036", "UA-2021-10-29-007887-a-a1")</f>
        <v/>
      </c>
      <c r="E92" t="s" s="1">
        <v>644</v>
      </c>
      <c r="F92" t="s" s="1">
        <v>2366</v>
      </c>
      <c r="G92" t="s" s="1">
        <v>2366</v>
      </c>
      <c r="H92" t="s" s="1">
        <v>528</v>
      </c>
      <c r="I92" t="s" s="1">
        <v>2178</v>
      </c>
      <c r="J92" t="s" s="1">
        <v>3233</v>
      </c>
      <c r="K92" t="s" s="1">
        <v>800</v>
      </c>
      <c r="L92" t="s" s="1">
        <v>347</v>
      </c>
      <c r="M92" t="n" s="5">
        <v>300000.0</v>
      </c>
      <c r="N92" t="n" s="7">
        <v>44498.0</v>
      </c>
      <c r="O92" t="n" s="7">
        <v>44561.0</v>
      </c>
      <c r="P92" t="s" s="1">
        <v>3384</v>
      </c>
    </row>
    <row r="93" spans="1:16">
      <c r="A93" t="n" s="4">
        <v>89</v>
      </c>
      <c r="B93" s="2">
        <f>HYPERLINK("https://my.zakupki.prom.ua/remote/dispatcher/state_purchase_view/29433727", "UA-2021-09-01-001963-a")</f>
        <v/>
      </c>
      <c r="C93" t="s" s="2">
        <v>3102</v>
      </c>
      <c r="D93" s="2">
        <f>HYPERLINK("https://my.zakupki.prom.ua/remote/dispatcher/state_contracting_view/10238627", "UA-2021-09-01-001963-a-a1")</f>
        <v/>
      </c>
      <c r="E93" t="s" s="1">
        <v>889</v>
      </c>
      <c r="F93" t="s" s="1">
        <v>2432</v>
      </c>
      <c r="G93" t="s" s="1">
        <v>2432</v>
      </c>
      <c r="H93" t="s" s="1">
        <v>693</v>
      </c>
      <c r="I93" t="s" s="1">
        <v>2178</v>
      </c>
      <c r="J93" t="s" s="1">
        <v>3309</v>
      </c>
      <c r="K93" t="s" s="1">
        <v>611</v>
      </c>
      <c r="L93" t="s" s="1">
        <v>3191</v>
      </c>
      <c r="M93" t="n" s="5">
        <v>191.0</v>
      </c>
      <c r="N93" t="n" s="7">
        <v>44440.0</v>
      </c>
      <c r="O93" t="n" s="7">
        <v>44561.0</v>
      </c>
      <c r="P93" t="s" s="1">
        <v>3384</v>
      </c>
    </row>
    <row r="94" spans="1:16">
      <c r="A94" t="n" s="4">
        <v>90</v>
      </c>
      <c r="B94" s="2">
        <f>HYPERLINK("https://my.zakupki.prom.ua/remote/dispatcher/state_purchase_view/29433612", "UA-2021-09-01-001897-a")</f>
        <v/>
      </c>
      <c r="C94" t="s" s="2">
        <v>3102</v>
      </c>
      <c r="D94" s="2">
        <f>HYPERLINK("https://my.zakupki.prom.ua/remote/dispatcher/state_contracting_view/10238434", "UA-2021-09-01-001897-a-a1")</f>
        <v/>
      </c>
      <c r="E94" t="s" s="1">
        <v>1690</v>
      </c>
      <c r="F94" t="s" s="1">
        <v>2854</v>
      </c>
      <c r="G94" t="s" s="1">
        <v>2854</v>
      </c>
      <c r="H94" t="s" s="1">
        <v>1075</v>
      </c>
      <c r="I94" t="s" s="1">
        <v>2178</v>
      </c>
      <c r="J94" t="s" s="1">
        <v>3309</v>
      </c>
      <c r="K94" t="s" s="1">
        <v>611</v>
      </c>
      <c r="L94" t="s" s="1">
        <v>3183</v>
      </c>
      <c r="M94" t="n" s="5">
        <v>697.0</v>
      </c>
      <c r="N94" t="n" s="7">
        <v>44440.0</v>
      </c>
      <c r="O94" t="n" s="7">
        <v>44561.0</v>
      </c>
      <c r="P94" t="s" s="1">
        <v>3384</v>
      </c>
    </row>
    <row r="95" spans="1:16">
      <c r="A95" t="n" s="4">
        <v>91</v>
      </c>
      <c r="B95" s="2">
        <f>HYPERLINK("https://my.zakupki.prom.ua/remote/dispatcher/state_purchase_view/29434086", "UA-2021-09-01-002023-a")</f>
        <v/>
      </c>
      <c r="C95" t="s" s="2">
        <v>3102</v>
      </c>
      <c r="D95" s="2">
        <f>HYPERLINK("https://my.zakupki.prom.ua/remote/dispatcher/state_contracting_view/10238731", "UA-2021-09-01-002023-a-a1")</f>
        <v/>
      </c>
      <c r="E95" t="s" s="1">
        <v>961</v>
      </c>
      <c r="F95" t="s" s="1">
        <v>2798</v>
      </c>
      <c r="G95" t="s" s="1">
        <v>2798</v>
      </c>
      <c r="H95" t="s" s="1">
        <v>1008</v>
      </c>
      <c r="I95" t="s" s="1">
        <v>2178</v>
      </c>
      <c r="J95" t="s" s="1">
        <v>3309</v>
      </c>
      <c r="K95" t="s" s="1">
        <v>611</v>
      </c>
      <c r="L95" t="s" s="1">
        <v>3194</v>
      </c>
      <c r="M95" t="n" s="5">
        <v>94.0</v>
      </c>
      <c r="N95" t="n" s="7">
        <v>44440.0</v>
      </c>
      <c r="O95" t="n" s="7">
        <v>44561.0</v>
      </c>
      <c r="P95" t="s" s="1">
        <v>3384</v>
      </c>
    </row>
    <row r="96" spans="1:16">
      <c r="A96" t="n" s="4">
        <v>92</v>
      </c>
      <c r="B96" s="2">
        <f>HYPERLINK("https://my.zakupki.prom.ua/remote/dispatcher/state_purchase_view/29430273", "UA-2021-09-01-000925-a")</f>
        <v/>
      </c>
      <c r="C96" t="s" s="2">
        <v>3102</v>
      </c>
      <c r="D96" s="2">
        <f>HYPERLINK("https://my.zakupki.prom.ua/remote/dispatcher/state_contracting_view/10237077", "UA-2021-09-01-000925-a-a1")</f>
        <v/>
      </c>
      <c r="E96" t="s" s="1">
        <v>1010</v>
      </c>
      <c r="F96" t="s" s="1">
        <v>2791</v>
      </c>
      <c r="G96" t="s" s="1">
        <v>2791</v>
      </c>
      <c r="H96" t="s" s="1">
        <v>937</v>
      </c>
      <c r="I96" t="s" s="1">
        <v>2178</v>
      </c>
      <c r="J96" t="s" s="1">
        <v>3356</v>
      </c>
      <c r="K96" t="s" s="1">
        <v>814</v>
      </c>
      <c r="L96" t="s" s="1">
        <v>1388</v>
      </c>
      <c r="M96" t="n" s="5">
        <v>1022.4</v>
      </c>
      <c r="N96" t="n" s="7">
        <v>44440.0</v>
      </c>
      <c r="O96" t="n" s="7">
        <v>44561.0</v>
      </c>
      <c r="P96" t="s" s="1">
        <v>3384</v>
      </c>
    </row>
    <row r="97" spans="1:16">
      <c r="A97" t="n" s="4">
        <v>93</v>
      </c>
      <c r="B97" s="2">
        <f>HYPERLINK("https://my.zakupki.prom.ua/remote/dispatcher/state_purchase_view/29429020", "UA-2021-09-01-000589-a")</f>
        <v/>
      </c>
      <c r="C97" t="s" s="2">
        <v>3102</v>
      </c>
      <c r="D97" s="2">
        <f>HYPERLINK("https://my.zakupki.prom.ua/remote/dispatcher/state_contracting_view/10236584", "UA-2021-09-01-000589-a-a1")</f>
        <v/>
      </c>
      <c r="E97" t="s" s="1">
        <v>952</v>
      </c>
      <c r="F97" t="s" s="1">
        <v>2434</v>
      </c>
      <c r="G97" t="s" s="1">
        <v>2434</v>
      </c>
      <c r="H97" t="s" s="1">
        <v>700</v>
      </c>
      <c r="I97" t="s" s="1">
        <v>2178</v>
      </c>
      <c r="J97" t="s" s="1">
        <v>3356</v>
      </c>
      <c r="K97" t="s" s="1">
        <v>814</v>
      </c>
      <c r="L97" t="s" s="1">
        <v>1382</v>
      </c>
      <c r="M97" t="n" s="5">
        <v>900.0</v>
      </c>
      <c r="N97" t="n" s="7">
        <v>44440.0</v>
      </c>
      <c r="O97" t="n" s="7">
        <v>44561.0</v>
      </c>
      <c r="P97" t="s" s="1">
        <v>3384</v>
      </c>
    </row>
    <row r="98" spans="1:16">
      <c r="A98" t="n" s="4">
        <v>94</v>
      </c>
      <c r="B98" s="2">
        <f>HYPERLINK("https://my.zakupki.prom.ua/remote/dispatcher/state_purchase_view/29428745", "UA-2021-09-01-000482-a")</f>
        <v/>
      </c>
      <c r="C98" t="s" s="2">
        <v>3102</v>
      </c>
      <c r="D98" s="2">
        <f>HYPERLINK("https://my.zakupki.prom.ua/remote/dispatcher/state_contracting_view/10236416", "UA-2021-09-01-000482-a-a1")</f>
        <v/>
      </c>
      <c r="E98" t="s" s="1">
        <v>2016</v>
      </c>
      <c r="F98" t="s" s="1">
        <v>2877</v>
      </c>
      <c r="G98" t="s" s="1">
        <v>2877</v>
      </c>
      <c r="H98" t="s" s="1">
        <v>1080</v>
      </c>
      <c r="I98" t="s" s="1">
        <v>2178</v>
      </c>
      <c r="J98" t="s" s="1">
        <v>3356</v>
      </c>
      <c r="K98" t="s" s="1">
        <v>814</v>
      </c>
      <c r="L98" t="s" s="1">
        <v>1379</v>
      </c>
      <c r="M98" t="n" s="5">
        <v>2391.0</v>
      </c>
      <c r="N98" t="n" s="7">
        <v>44440.0</v>
      </c>
      <c r="O98" t="n" s="7">
        <v>44561.0</v>
      </c>
      <c r="P98" t="s" s="1">
        <v>3384</v>
      </c>
    </row>
    <row r="99" spans="1:16">
      <c r="A99" t="n" s="4">
        <v>95</v>
      </c>
      <c r="B99" s="2">
        <f>HYPERLINK("https://my.zakupki.prom.ua/remote/dispatcher/state_purchase_view/27744959", "UA-2021-06-24-006237-c")</f>
        <v/>
      </c>
      <c r="C99" t="s" s="2">
        <v>3102</v>
      </c>
      <c r="D99" s="2">
        <f>HYPERLINK("https://my.zakupki.prom.ua/remote/dispatcher/state_contracting_view/9445159", "UA-2021-06-24-006237-c-c1")</f>
        <v/>
      </c>
      <c r="E99" t="s" s="1">
        <v>1054</v>
      </c>
      <c r="F99" t="s" s="1">
        <v>2403</v>
      </c>
      <c r="G99" t="s" s="1">
        <v>2403</v>
      </c>
      <c r="H99" t="s" s="1">
        <v>550</v>
      </c>
      <c r="I99" t="s" s="1">
        <v>2178</v>
      </c>
      <c r="J99" t="s" s="1">
        <v>3277</v>
      </c>
      <c r="K99" t="s" s="1">
        <v>519</v>
      </c>
      <c r="L99" t="s" s="1">
        <v>1287</v>
      </c>
      <c r="M99" t="n" s="5">
        <v>660.02</v>
      </c>
      <c r="N99" t="n" s="7">
        <v>44369.0</v>
      </c>
      <c r="O99" t="n" s="7">
        <v>44561.0</v>
      </c>
      <c r="P99" t="s" s="1">
        <v>3384</v>
      </c>
    </row>
    <row r="100" spans="1:16">
      <c r="A100" t="n" s="4">
        <v>96</v>
      </c>
      <c r="B100" s="2">
        <f>HYPERLINK("https://my.zakupki.prom.ua/remote/dispatcher/state_purchase_view/30256340", "UA-2021-09-27-005612-b")</f>
        <v/>
      </c>
      <c r="C100" t="s" s="2">
        <v>3102</v>
      </c>
      <c r="D100" s="2">
        <f>HYPERLINK("https://my.zakupki.prom.ua/remote/dispatcher/state_contracting_view/10618848", "UA-2021-09-27-005612-b-b1")</f>
        <v/>
      </c>
      <c r="E100" t="s" s="1">
        <v>2046</v>
      </c>
      <c r="F100" t="s" s="1">
        <v>2997</v>
      </c>
      <c r="G100" t="s" s="1">
        <v>2997</v>
      </c>
      <c r="H100" t="s" s="1">
        <v>1573</v>
      </c>
      <c r="I100" t="s" s="1">
        <v>2178</v>
      </c>
      <c r="J100" t="s" s="1">
        <v>2157</v>
      </c>
      <c r="K100" t="s" s="1">
        <v>435</v>
      </c>
      <c r="L100" t="s" s="1">
        <v>841</v>
      </c>
      <c r="M100" t="n" s="5">
        <v>972.7</v>
      </c>
      <c r="N100" t="n" s="7">
        <v>44466.0</v>
      </c>
      <c r="O100" t="n" s="7">
        <v>44561.0</v>
      </c>
      <c r="P100" t="s" s="1">
        <v>3384</v>
      </c>
    </row>
    <row r="101" spans="1:16">
      <c r="A101" t="n" s="4">
        <v>97</v>
      </c>
      <c r="B101" s="2">
        <f>HYPERLINK("https://my.zakupki.prom.ua/remote/dispatcher/state_purchase_view/30312303", "UA-2021-09-28-008926-b")</f>
        <v/>
      </c>
      <c r="C101" t="s" s="2">
        <v>3102</v>
      </c>
      <c r="D101" s="2">
        <f>HYPERLINK("https://my.zakupki.prom.ua/remote/dispatcher/state_contracting_view/10644892", "UA-2021-09-28-008926-b-b1")</f>
        <v/>
      </c>
      <c r="E101" t="s" s="1">
        <v>1116</v>
      </c>
      <c r="F101" t="s" s="1">
        <v>2366</v>
      </c>
      <c r="G101" t="s" s="1">
        <v>2366</v>
      </c>
      <c r="H101" t="s" s="1">
        <v>528</v>
      </c>
      <c r="I101" t="s" s="1">
        <v>2178</v>
      </c>
      <c r="J101" t="s" s="1">
        <v>3247</v>
      </c>
      <c r="K101" t="s" s="1">
        <v>800</v>
      </c>
      <c r="L101" t="s" s="1">
        <v>256</v>
      </c>
      <c r="M101" t="n" s="5">
        <v>200000.0</v>
      </c>
      <c r="N101" t="n" s="7">
        <v>44466.0</v>
      </c>
      <c r="O101" t="n" s="7">
        <v>44561.0</v>
      </c>
      <c r="P101" t="s" s="1">
        <v>3384</v>
      </c>
    </row>
    <row r="102" spans="1:16">
      <c r="A102" t="n" s="4">
        <v>98</v>
      </c>
      <c r="B102" s="2">
        <f>HYPERLINK("https://my.zakupki.prom.ua/remote/dispatcher/state_purchase_view/27063078", "UA-2021-06-01-007837-b")</f>
        <v/>
      </c>
      <c r="C102" t="s" s="2">
        <v>3102</v>
      </c>
      <c r="D102" s="2">
        <f>HYPERLINK("https://my.zakupki.prom.ua/remote/dispatcher/state_contracting_view/9125521", "UA-2021-06-01-007837-b-b1")</f>
        <v/>
      </c>
      <c r="E102" t="s" s="1">
        <v>1417</v>
      </c>
      <c r="F102" t="s" s="1">
        <v>2774</v>
      </c>
      <c r="G102" t="s" s="1">
        <v>3470</v>
      </c>
      <c r="H102" t="s" s="1">
        <v>923</v>
      </c>
      <c r="I102" t="s" s="1">
        <v>2178</v>
      </c>
      <c r="J102" t="s" s="1">
        <v>3117</v>
      </c>
      <c r="K102" t="s" s="1">
        <v>495</v>
      </c>
      <c r="L102" t="s" s="1">
        <v>1251</v>
      </c>
      <c r="M102" t="n" s="5">
        <v>6960.0</v>
      </c>
      <c r="N102" t="n" s="7">
        <v>44348.0</v>
      </c>
      <c r="O102" t="n" s="7">
        <v>44561.0</v>
      </c>
      <c r="P102" t="s" s="1">
        <v>3384</v>
      </c>
    </row>
    <row r="103" spans="1:16">
      <c r="A103" t="n" s="4">
        <v>99</v>
      </c>
      <c r="B103" s="2">
        <f>HYPERLINK("https://my.zakupki.prom.ua/remote/dispatcher/state_purchase_view/27064337", "UA-2021-06-01-008229-b")</f>
        <v/>
      </c>
      <c r="C103" t="s" s="2">
        <v>3102</v>
      </c>
      <c r="D103" s="2">
        <f>HYPERLINK("https://my.zakupki.prom.ua/remote/dispatcher/state_contracting_view/9125899", "UA-2021-06-01-008229-b-b1")</f>
        <v/>
      </c>
      <c r="E103" t="s" s="1">
        <v>1223</v>
      </c>
      <c r="F103" t="s" s="1">
        <v>2876</v>
      </c>
      <c r="G103" t="s" s="1">
        <v>2876</v>
      </c>
      <c r="H103" t="s" s="1">
        <v>1080</v>
      </c>
      <c r="I103" t="s" s="1">
        <v>2178</v>
      </c>
      <c r="J103" t="s" s="1">
        <v>3117</v>
      </c>
      <c r="K103" t="s" s="1">
        <v>495</v>
      </c>
      <c r="L103" t="s" s="1">
        <v>1252</v>
      </c>
      <c r="M103" t="n" s="5">
        <v>13060.0</v>
      </c>
      <c r="N103" t="n" s="7">
        <v>44348.0</v>
      </c>
      <c r="O103" t="n" s="7">
        <v>44561.0</v>
      </c>
      <c r="P103" t="s" s="1">
        <v>3384</v>
      </c>
    </row>
    <row r="104" spans="1:16">
      <c r="A104" t="n" s="4">
        <v>100</v>
      </c>
      <c r="B104" s="2">
        <f>HYPERLINK("https://my.zakupki.prom.ua/remote/dispatcher/state_purchase_view/22967979", "UA-2021-01-15-000659-a")</f>
        <v/>
      </c>
      <c r="C104" t="s" s="2">
        <v>3102</v>
      </c>
      <c r="D104" s="2">
        <f>HYPERLINK("https://my.zakupki.prom.ua/remote/dispatcher/state_contracting_view/7475476", "UA-2021-01-15-000659-a-b1")</f>
        <v/>
      </c>
      <c r="E104" t="s" s="1">
        <v>872</v>
      </c>
      <c r="F104" t="s" s="1">
        <v>2209</v>
      </c>
      <c r="G104" t="s" s="1">
        <v>3146</v>
      </c>
      <c r="H104" t="s" s="1">
        <v>763</v>
      </c>
      <c r="I104" t="s" s="1">
        <v>3171</v>
      </c>
      <c r="J104" t="s" s="1">
        <v>3337</v>
      </c>
      <c r="K104" t="s" s="1">
        <v>747</v>
      </c>
      <c r="L104" t="s" s="1">
        <v>1503</v>
      </c>
      <c r="M104" t="n" s="5">
        <v>149000.0</v>
      </c>
      <c r="N104" t="n" s="7">
        <v>44230.0</v>
      </c>
      <c r="O104" t="n" s="7">
        <v>44561.0</v>
      </c>
      <c r="P104" t="s" s="1">
        <v>3384</v>
      </c>
    </row>
    <row r="105" spans="1:16">
      <c r="A105" t="n" s="4">
        <v>101</v>
      </c>
      <c r="B105" s="2">
        <f>HYPERLINK("https://my.zakupki.prom.ua/remote/dispatcher/state_purchase_view/24898326", "UA-2021-03-15-009486-b")</f>
        <v/>
      </c>
      <c r="C105" t="s" s="2">
        <v>3102</v>
      </c>
      <c r="D105" s="2">
        <f>HYPERLINK("https://my.zakupki.prom.ua/remote/dispatcher/state_contracting_view/8088392", "UA-2021-03-15-009486-b-b1")</f>
        <v/>
      </c>
      <c r="E105" t="s" s="1">
        <v>1790</v>
      </c>
      <c r="F105" t="s" s="1">
        <v>2562</v>
      </c>
      <c r="G105" t="s" s="1">
        <v>2562</v>
      </c>
      <c r="H105" t="s" s="1">
        <v>763</v>
      </c>
      <c r="I105" t="s" s="1">
        <v>2178</v>
      </c>
      <c r="J105" t="s" s="1">
        <v>3258</v>
      </c>
      <c r="K105" t="s" s="1">
        <v>776</v>
      </c>
      <c r="L105" t="s" s="1">
        <v>1565</v>
      </c>
      <c r="M105" t="n" s="5">
        <v>16650.0</v>
      </c>
      <c r="N105" t="n" s="7">
        <v>44270.0</v>
      </c>
      <c r="O105" t="n" s="7">
        <v>44561.0</v>
      </c>
      <c r="P105" t="s" s="1">
        <v>3384</v>
      </c>
    </row>
    <row r="106" spans="1:16">
      <c r="A106" t="n" s="4">
        <v>102</v>
      </c>
      <c r="B106" s="2">
        <f>HYPERLINK("https://my.zakupki.prom.ua/remote/dispatcher/state_purchase_view/26275224", "UA-2021-04-30-000119-a")</f>
        <v/>
      </c>
      <c r="C106" t="s" s="2">
        <v>3102</v>
      </c>
      <c r="D106" s="2">
        <f>HYPERLINK("https://my.zakupki.prom.ua/remote/dispatcher/state_contracting_view/8746329", "UA-2021-04-30-000119-a-a1")</f>
        <v/>
      </c>
      <c r="E106" t="s" s="1">
        <v>1779</v>
      </c>
      <c r="F106" t="s" s="1">
        <v>2822</v>
      </c>
      <c r="G106" t="s" s="1">
        <v>2822</v>
      </c>
      <c r="H106" t="s" s="1">
        <v>1061</v>
      </c>
      <c r="I106" t="s" s="1">
        <v>2178</v>
      </c>
      <c r="J106" t="s" s="1">
        <v>3112</v>
      </c>
      <c r="K106" t="s" s="1">
        <v>802</v>
      </c>
      <c r="L106" t="s" s="1">
        <v>810</v>
      </c>
      <c r="M106" t="n" s="5">
        <v>532.5</v>
      </c>
      <c r="N106" t="n" s="7">
        <v>44315.0</v>
      </c>
      <c r="O106" t="n" s="7">
        <v>44561.0</v>
      </c>
      <c r="P106" t="s" s="1">
        <v>3384</v>
      </c>
    </row>
    <row r="107" spans="1:16">
      <c r="A107" t="n" s="4">
        <v>103</v>
      </c>
      <c r="B107" s="2">
        <f>HYPERLINK("https://my.zakupki.prom.ua/remote/dispatcher/state_purchase_view/25436464", "UA-2021-04-01-000733-b")</f>
        <v/>
      </c>
      <c r="C107" t="s" s="2">
        <v>3102</v>
      </c>
      <c r="D107" s="2">
        <f>HYPERLINK("https://my.zakupki.prom.ua/remote/dispatcher/state_contracting_view/8345264", "UA-2021-04-01-000733-b-b1")</f>
        <v/>
      </c>
      <c r="E107" t="s" s="1">
        <v>571</v>
      </c>
      <c r="F107" t="s" s="1">
        <v>2750</v>
      </c>
      <c r="G107" t="s" s="1">
        <v>2750</v>
      </c>
      <c r="H107" t="s" s="1">
        <v>910</v>
      </c>
      <c r="I107" t="s" s="1">
        <v>2178</v>
      </c>
      <c r="J107" t="s" s="1">
        <v>2131</v>
      </c>
      <c r="K107" t="s" s="1">
        <v>605</v>
      </c>
      <c r="L107" t="s" s="1">
        <v>691</v>
      </c>
      <c r="M107" t="n" s="5">
        <v>49995.0</v>
      </c>
      <c r="N107" t="n" s="7">
        <v>44287.0</v>
      </c>
      <c r="O107" t="n" s="7">
        <v>44561.0</v>
      </c>
      <c r="P107" t="s" s="1">
        <v>3384</v>
      </c>
    </row>
    <row r="108" spans="1:16">
      <c r="A108" t="n" s="4">
        <v>104</v>
      </c>
      <c r="B108" s="2">
        <f>HYPERLINK("https://my.zakupki.prom.ua/remote/dispatcher/state_purchase_view/26612395", "UA-2021-05-18-000210-b")</f>
        <v/>
      </c>
      <c r="C108" t="s" s="2">
        <v>3102</v>
      </c>
      <c r="D108" s="2">
        <f>HYPERLINK("https://my.zakupki.prom.ua/remote/dispatcher/state_contracting_view/8907359", "UA-2021-05-18-000210-b-b1")</f>
        <v/>
      </c>
      <c r="E108" t="s" s="1">
        <v>2101</v>
      </c>
      <c r="F108" t="s" s="1">
        <v>2500</v>
      </c>
      <c r="G108" t="s" s="1">
        <v>3398</v>
      </c>
      <c r="H108" t="s" s="1">
        <v>759</v>
      </c>
      <c r="I108" t="s" s="1">
        <v>2178</v>
      </c>
      <c r="J108" t="s" s="1">
        <v>3258</v>
      </c>
      <c r="K108" t="s" s="1">
        <v>776</v>
      </c>
      <c r="L108" t="s" s="1">
        <v>359</v>
      </c>
      <c r="M108" t="n" s="5">
        <v>45050.0</v>
      </c>
      <c r="N108" t="n" s="7">
        <v>44333.0</v>
      </c>
      <c r="O108" t="n" s="7">
        <v>44561.0</v>
      </c>
      <c r="P108" t="s" s="1">
        <v>3384</v>
      </c>
    </row>
    <row r="109" spans="1:16">
      <c r="A109" t="n" s="4">
        <v>105</v>
      </c>
      <c r="B109" s="2">
        <f>HYPERLINK("https://my.zakupki.prom.ua/remote/dispatcher/state_purchase_view/26302754", "UA-2021-05-05-001160-c")</f>
        <v/>
      </c>
      <c r="C109" t="s" s="2">
        <v>3102</v>
      </c>
      <c r="D109" s="2">
        <f>HYPERLINK("https://my.zakupki.prom.ua/remote/dispatcher/state_contracting_view/8774470", "UA-2021-05-05-001160-c-c1")</f>
        <v/>
      </c>
      <c r="E109" t="s" s="1">
        <v>1935</v>
      </c>
      <c r="F109" t="s" s="1">
        <v>2447</v>
      </c>
      <c r="G109" t="s" s="1">
        <v>2447</v>
      </c>
      <c r="H109" t="s" s="1">
        <v>706</v>
      </c>
      <c r="I109" t="s" s="1">
        <v>2178</v>
      </c>
      <c r="J109" t="s" s="1">
        <v>3126</v>
      </c>
      <c r="K109" t="s" s="1">
        <v>564</v>
      </c>
      <c r="L109" t="s" s="1">
        <v>1117</v>
      </c>
      <c r="M109" t="n" s="5">
        <v>15600.0</v>
      </c>
      <c r="N109" t="n" s="7">
        <v>44321.0</v>
      </c>
      <c r="O109" t="n" s="7">
        <v>44561.0</v>
      </c>
      <c r="P109" t="s" s="1">
        <v>3384</v>
      </c>
    </row>
    <row r="110" spans="1:16">
      <c r="A110" t="n" s="4">
        <v>106</v>
      </c>
      <c r="B110" s="2">
        <f>HYPERLINK("https://my.zakupki.prom.ua/remote/dispatcher/state_purchase_view/26302252", "UA-2021-05-05-001038-c")</f>
        <v/>
      </c>
      <c r="C110" t="s" s="2">
        <v>3102</v>
      </c>
      <c r="D110" s="2">
        <f>HYPERLINK("https://my.zakupki.prom.ua/remote/dispatcher/state_contracting_view/8774685", "UA-2021-05-05-001038-c-c1")</f>
        <v/>
      </c>
      <c r="E110" t="s" s="1">
        <v>1916</v>
      </c>
      <c r="F110" t="s" s="1">
        <v>2739</v>
      </c>
      <c r="G110" t="s" s="1">
        <v>2739</v>
      </c>
      <c r="H110" t="s" s="1">
        <v>883</v>
      </c>
      <c r="I110" t="s" s="1">
        <v>2178</v>
      </c>
      <c r="J110" t="s" s="1">
        <v>3126</v>
      </c>
      <c r="K110" t="s" s="1">
        <v>564</v>
      </c>
      <c r="L110" t="s" s="1">
        <v>1118</v>
      </c>
      <c r="M110" t="n" s="5">
        <v>4320.0</v>
      </c>
      <c r="N110" t="n" s="7">
        <v>44321.0</v>
      </c>
      <c r="O110" t="n" s="7">
        <v>44561.0</v>
      </c>
      <c r="P110" t="s" s="1">
        <v>3384</v>
      </c>
    </row>
    <row r="111" spans="1:16">
      <c r="A111" t="n" s="4">
        <v>107</v>
      </c>
      <c r="B111" s="2">
        <f>HYPERLINK("https://my.zakupki.prom.ua/remote/dispatcher/state_purchase_view/30255665", "UA-2021-09-27-005382-b")</f>
        <v/>
      </c>
      <c r="C111" t="s" s="2">
        <v>3102</v>
      </c>
      <c r="D111" s="2">
        <f>HYPERLINK("https://my.zakupki.prom.ua/remote/dispatcher/state_contracting_view/10618197", "UA-2021-09-27-005382-b-b1")</f>
        <v/>
      </c>
      <c r="E111" t="s" s="1">
        <v>1542</v>
      </c>
      <c r="F111" t="s" s="1">
        <v>2704</v>
      </c>
      <c r="G111" t="s" s="1">
        <v>3153</v>
      </c>
      <c r="H111" t="s" s="1">
        <v>777</v>
      </c>
      <c r="I111" t="s" s="1">
        <v>2178</v>
      </c>
      <c r="J111" t="s" s="1">
        <v>2125</v>
      </c>
      <c r="K111" t="s" s="1">
        <v>627</v>
      </c>
      <c r="L111" t="s" s="1">
        <v>1469</v>
      </c>
      <c r="M111" t="n" s="5">
        <v>70600.0</v>
      </c>
      <c r="N111" t="n" s="7">
        <v>44466.0</v>
      </c>
      <c r="O111" t="n" s="7">
        <v>44561.0</v>
      </c>
      <c r="P111" t="s" s="1">
        <v>3384</v>
      </c>
    </row>
    <row r="112" spans="1:16">
      <c r="A112" t="n" s="4">
        <v>108</v>
      </c>
      <c r="B112" s="2">
        <f>HYPERLINK("https://my.zakupki.prom.ua/remote/dispatcher/state_purchase_view/30747512", "UA-2021-10-13-001019-b")</f>
        <v/>
      </c>
      <c r="C112" t="s" s="2">
        <v>3102</v>
      </c>
      <c r="D112" s="2">
        <f>HYPERLINK("https://my.zakupki.prom.ua/remote/dispatcher/state_contracting_view/10844407", "UA-2021-10-13-001019-b-b1")</f>
        <v/>
      </c>
      <c r="E112" t="s" s="1">
        <v>655</v>
      </c>
      <c r="F112" t="s" s="1">
        <v>2533</v>
      </c>
      <c r="G112" t="s" s="1">
        <v>3530</v>
      </c>
      <c r="H112" t="s" s="1">
        <v>759</v>
      </c>
      <c r="I112" t="s" s="1">
        <v>2178</v>
      </c>
      <c r="J112" t="s" s="1">
        <v>3221</v>
      </c>
      <c r="K112" t="s" s="1">
        <v>519</v>
      </c>
      <c r="L112" t="s" s="1">
        <v>1511</v>
      </c>
      <c r="M112" t="n" s="5">
        <v>2368.1</v>
      </c>
      <c r="N112" t="n" s="7">
        <v>44481.0</v>
      </c>
      <c r="O112" t="n" s="7">
        <v>44561.0</v>
      </c>
      <c r="P112" t="s" s="1">
        <v>3384</v>
      </c>
    </row>
    <row r="113" spans="1:16">
      <c r="A113" t="n" s="4">
        <v>109</v>
      </c>
      <c r="B113" s="2">
        <f>HYPERLINK("https://my.zakupki.prom.ua/remote/dispatcher/state_purchase_view/25630259", "UA-2021-04-08-000857-b")</f>
        <v/>
      </c>
      <c r="C113" t="s" s="2">
        <v>3102</v>
      </c>
      <c r="D113" s="2">
        <f>HYPERLINK("https://my.zakupki.prom.ua/remote/dispatcher/state_contracting_view/8442620", "UA-2021-04-08-000857-b-b1")</f>
        <v/>
      </c>
      <c r="E113" t="s" s="1">
        <v>953</v>
      </c>
      <c r="F113" t="s" s="1">
        <v>2235</v>
      </c>
      <c r="G113" t="s" s="1">
        <v>2235</v>
      </c>
      <c r="H113" t="s" s="1">
        <v>98</v>
      </c>
      <c r="I113" t="s" s="1">
        <v>2178</v>
      </c>
      <c r="J113" t="s" s="1">
        <v>3112</v>
      </c>
      <c r="K113" t="s" s="1">
        <v>802</v>
      </c>
      <c r="L113" t="s" s="1">
        <v>79</v>
      </c>
      <c r="M113" t="n" s="5">
        <v>585.0</v>
      </c>
      <c r="N113" t="n" s="7">
        <v>44294.0</v>
      </c>
      <c r="O113" t="n" s="7">
        <v>44561.0</v>
      </c>
      <c r="P113" t="s" s="1">
        <v>3384</v>
      </c>
    </row>
    <row r="114" spans="1:16">
      <c r="A114" t="n" s="4">
        <v>110</v>
      </c>
      <c r="B114" s="2">
        <f>HYPERLINK("https://my.zakupki.prom.ua/remote/dispatcher/state_purchase_view/25631613", "UA-2021-04-08-001221-b")</f>
        <v/>
      </c>
      <c r="C114" t="s" s="2">
        <v>3102</v>
      </c>
      <c r="D114" s="2">
        <f>HYPERLINK("https://my.zakupki.prom.ua/remote/dispatcher/state_contracting_view/8442784", "UA-2021-04-08-001221-b-b1")</f>
        <v/>
      </c>
      <c r="E114" t="s" s="1">
        <v>1290</v>
      </c>
      <c r="F114" t="s" s="1">
        <v>2804</v>
      </c>
      <c r="G114" t="s" s="1">
        <v>2804</v>
      </c>
      <c r="H114" t="s" s="1">
        <v>1019</v>
      </c>
      <c r="I114" t="s" s="1">
        <v>2178</v>
      </c>
      <c r="J114" t="s" s="1">
        <v>3112</v>
      </c>
      <c r="K114" t="s" s="1">
        <v>802</v>
      </c>
      <c r="L114" t="s" s="1">
        <v>123</v>
      </c>
      <c r="M114" t="n" s="5">
        <v>130.8</v>
      </c>
      <c r="N114" t="n" s="7">
        <v>44294.0</v>
      </c>
      <c r="O114" t="n" s="7">
        <v>44561.0</v>
      </c>
      <c r="P114" t="s" s="1">
        <v>3384</v>
      </c>
    </row>
    <row r="115" spans="1:16">
      <c r="A115" t="n" s="4">
        <v>111</v>
      </c>
      <c r="B115" s="2">
        <f>HYPERLINK("https://my.zakupki.prom.ua/remote/dispatcher/state_purchase_view/25559743", "UA-2021-04-06-002029-c")</f>
        <v/>
      </c>
      <c r="C115" t="s" s="2">
        <v>3102</v>
      </c>
      <c r="D115" s="2">
        <f>HYPERLINK("https://my.zakupki.prom.ua/remote/dispatcher/state_contracting_view/8405652", "UA-2021-04-06-002029-c-c1")</f>
        <v/>
      </c>
      <c r="E115" t="s" s="1">
        <v>741</v>
      </c>
      <c r="F115" t="s" s="1">
        <v>2456</v>
      </c>
      <c r="G115" t="s" s="1">
        <v>2456</v>
      </c>
      <c r="H115" t="s" s="1">
        <v>708</v>
      </c>
      <c r="I115" t="s" s="1">
        <v>2178</v>
      </c>
      <c r="J115" t="s" s="1">
        <v>3167</v>
      </c>
      <c r="K115" t="s" s="1">
        <v>448</v>
      </c>
      <c r="L115" t="s" s="1">
        <v>136</v>
      </c>
      <c r="M115" t="n" s="5">
        <v>3285.5</v>
      </c>
      <c r="N115" t="n" s="7">
        <v>44292.0</v>
      </c>
      <c r="O115" t="n" s="7">
        <v>44561.0</v>
      </c>
      <c r="P115" t="s" s="1">
        <v>3384</v>
      </c>
    </row>
    <row r="116" spans="1:16">
      <c r="A116" t="n" s="4">
        <v>112</v>
      </c>
      <c r="B116" s="2">
        <f>HYPERLINK("https://my.zakupki.prom.ua/remote/dispatcher/state_purchase_view/31906559", "UA-2021-11-17-012429-a")</f>
        <v/>
      </c>
      <c r="C116" t="s" s="2">
        <v>3102</v>
      </c>
      <c r="D116" s="2">
        <f>HYPERLINK("https://my.zakupki.prom.ua/remote/dispatcher/state_contracting_view/11377057", "UA-2021-11-17-012429-a-a1")</f>
        <v/>
      </c>
      <c r="E116" t="s" s="1">
        <v>2023</v>
      </c>
      <c r="F116" t="s" s="1">
        <v>2716</v>
      </c>
      <c r="G116" t="s" s="1">
        <v>3457</v>
      </c>
      <c r="H116" t="s" s="1">
        <v>784</v>
      </c>
      <c r="I116" t="s" s="1">
        <v>2178</v>
      </c>
      <c r="J116" t="s" s="1">
        <v>3132</v>
      </c>
      <c r="K116" t="s" s="1">
        <v>658</v>
      </c>
      <c r="L116" t="s" s="1">
        <v>1088</v>
      </c>
      <c r="M116" t="n" s="5">
        <v>2286.09</v>
      </c>
      <c r="N116" t="n" s="7">
        <v>44517.0</v>
      </c>
      <c r="O116" t="n" s="7">
        <v>44561.0</v>
      </c>
      <c r="P116" t="s" s="1">
        <v>3384</v>
      </c>
    </row>
    <row r="117" spans="1:16">
      <c r="A117" t="n" s="4">
        <v>113</v>
      </c>
      <c r="B117" s="2">
        <f>HYPERLINK("https://my.zakupki.prom.ua/remote/dispatcher/state_purchase_view/29514118", "UA-2021-09-03-003382-c")</f>
        <v/>
      </c>
      <c r="C117" t="s" s="2">
        <v>3102</v>
      </c>
      <c r="D117" s="2">
        <f>HYPERLINK("https://my.zakupki.prom.ua/remote/dispatcher/state_contracting_view/10285082", "UA-2021-09-03-003382-c-c1")</f>
        <v/>
      </c>
      <c r="E117" t="s" s="1">
        <v>315</v>
      </c>
      <c r="F117" t="s" s="1">
        <v>2309</v>
      </c>
      <c r="G117" t="s" s="1">
        <v>2309</v>
      </c>
      <c r="H117" t="s" s="1">
        <v>278</v>
      </c>
      <c r="I117" t="s" s="1">
        <v>2178</v>
      </c>
      <c r="J117" t="s" s="1">
        <v>3356</v>
      </c>
      <c r="K117" t="s" s="1">
        <v>814</v>
      </c>
      <c r="L117" t="s" s="1">
        <v>1432</v>
      </c>
      <c r="M117" t="n" s="5">
        <v>2780.0</v>
      </c>
      <c r="N117" t="n" s="7">
        <v>44442.0</v>
      </c>
      <c r="O117" t="n" s="7">
        <v>44561.0</v>
      </c>
      <c r="P117" t="s" s="1">
        <v>3384</v>
      </c>
    </row>
    <row r="118" spans="1:16">
      <c r="A118" t="n" s="4">
        <v>114</v>
      </c>
      <c r="B118" s="2">
        <f>HYPERLINK("https://my.zakupki.prom.ua/remote/dispatcher/state_purchase_view/32922756", "UA-2021-12-10-012476-c")</f>
        <v/>
      </c>
      <c r="C118" t="s" s="2">
        <v>3102</v>
      </c>
      <c r="D118" s="2">
        <f>HYPERLINK("https://my.zakupki.prom.ua/remote/dispatcher/state_contracting_view/11847623", "UA-2021-12-10-012476-c-c1")</f>
        <v/>
      </c>
      <c r="E118" t="s" s="1">
        <v>581</v>
      </c>
      <c r="F118" t="s" s="1">
        <v>2214</v>
      </c>
      <c r="G118" t="s" s="1">
        <v>2214</v>
      </c>
      <c r="H118" t="s" s="1">
        <v>657</v>
      </c>
      <c r="I118" t="s" s="1">
        <v>2178</v>
      </c>
      <c r="J118" t="s" s="1">
        <v>2148</v>
      </c>
      <c r="K118" t="s" s="1">
        <v>678</v>
      </c>
      <c r="L118" t="s" s="1">
        <v>1644</v>
      </c>
      <c r="M118" t="n" s="5">
        <v>570.0</v>
      </c>
      <c r="N118" t="n" s="7">
        <v>44540.0</v>
      </c>
      <c r="O118" t="n" s="7">
        <v>44561.0</v>
      </c>
      <c r="P118" t="s" s="1">
        <v>3384</v>
      </c>
    </row>
    <row r="119" spans="1:16">
      <c r="A119" t="n" s="4">
        <v>115</v>
      </c>
      <c r="B119" s="2">
        <f>HYPERLINK("https://my.zakupki.prom.ua/remote/dispatcher/state_purchase_view/23860695", "UA-2021-02-10-005792-a")</f>
        <v/>
      </c>
      <c r="C119" t="s" s="2">
        <v>3102</v>
      </c>
      <c r="D119" s="2">
        <f>HYPERLINK("https://my.zakupki.prom.ua/remote/dispatcher/state_contracting_view/7599322", "UA-2021-02-10-005792-a-a1")</f>
        <v/>
      </c>
      <c r="E119" t="s" s="1">
        <v>1032</v>
      </c>
      <c r="F119" t="s" s="1">
        <v>2626</v>
      </c>
      <c r="G119" t="s" s="1">
        <v>3409</v>
      </c>
      <c r="H119" t="s" s="1">
        <v>774</v>
      </c>
      <c r="I119" t="s" s="1">
        <v>2178</v>
      </c>
      <c r="J119" t="s" s="1">
        <v>3277</v>
      </c>
      <c r="K119" t="s" s="1">
        <v>519</v>
      </c>
      <c r="L119" t="s" s="1">
        <v>1725</v>
      </c>
      <c r="M119" t="n" s="5">
        <v>12412.3</v>
      </c>
      <c r="N119" t="n" s="7">
        <v>44237.0</v>
      </c>
      <c r="O119" t="n" s="7">
        <v>44561.0</v>
      </c>
      <c r="P119" t="s" s="1">
        <v>3384</v>
      </c>
    </row>
    <row r="120" spans="1:16">
      <c r="A120" t="n" s="4">
        <v>116</v>
      </c>
      <c r="B120" s="2">
        <f>HYPERLINK("https://my.zakupki.prom.ua/remote/dispatcher/state_purchase_view/23200793", "UA-2021-01-25-000416-b")</f>
        <v/>
      </c>
      <c r="C120" t="s" s="2">
        <v>3102</v>
      </c>
      <c r="D120" s="2">
        <f>HYPERLINK("https://my.zakupki.prom.ua/remote/dispatcher/state_contracting_view/7311740", "UA-2021-01-25-000416-b-b1")</f>
        <v/>
      </c>
      <c r="E120" t="s" s="1">
        <v>1722</v>
      </c>
      <c r="F120" t="s" s="1">
        <v>2689</v>
      </c>
      <c r="G120" t="s" s="1">
        <v>3521</v>
      </c>
      <c r="H120" t="s" s="1">
        <v>774</v>
      </c>
      <c r="I120" t="s" s="1">
        <v>2178</v>
      </c>
      <c r="J120" t="s" s="1">
        <v>3277</v>
      </c>
      <c r="K120" t="s" s="1">
        <v>519</v>
      </c>
      <c r="L120" t="s" s="1">
        <v>1189</v>
      </c>
      <c r="M120" t="n" s="5">
        <v>20236.7</v>
      </c>
      <c r="N120" t="n" s="7">
        <v>44218.0</v>
      </c>
      <c r="O120" t="n" s="7">
        <v>44561.0</v>
      </c>
      <c r="P120" t="s" s="1">
        <v>3384</v>
      </c>
    </row>
    <row r="121" spans="1:16">
      <c r="A121" t="n" s="4">
        <v>117</v>
      </c>
      <c r="B121" s="2">
        <f>HYPERLINK("https://my.zakupki.prom.ua/remote/dispatcher/state_purchase_view/22931323", "UA-2021-01-13-001304-a")</f>
        <v/>
      </c>
      <c r="C121" t="s" s="2">
        <v>3102</v>
      </c>
      <c r="D121" s="2">
        <f>HYPERLINK("https://my.zakupki.prom.ua/remote/dispatcher/state_contracting_view/7213911", "UA-2021-01-13-001304-a-a1")</f>
        <v/>
      </c>
      <c r="E121" t="s" s="1">
        <v>1997</v>
      </c>
      <c r="F121" t="s" s="1">
        <v>2833</v>
      </c>
      <c r="G121" t="s" s="1">
        <v>2833</v>
      </c>
      <c r="H121" t="s" s="1">
        <v>1062</v>
      </c>
      <c r="I121" t="s" s="1">
        <v>2178</v>
      </c>
      <c r="J121" t="s" s="1">
        <v>3112</v>
      </c>
      <c r="K121" t="s" s="1">
        <v>802</v>
      </c>
      <c r="L121" t="s" s="1">
        <v>121</v>
      </c>
      <c r="M121" t="n" s="5">
        <v>12.7</v>
      </c>
      <c r="N121" t="n" s="7">
        <v>44209.0</v>
      </c>
      <c r="O121" t="n" s="7">
        <v>44561.0</v>
      </c>
      <c r="P121" t="s" s="1">
        <v>3384</v>
      </c>
    </row>
    <row r="122" spans="1:16">
      <c r="A122" t="n" s="4">
        <v>118</v>
      </c>
      <c r="B122" s="2">
        <f>HYPERLINK("https://my.zakupki.prom.ua/remote/dispatcher/state_purchase_view/22929263", "UA-2021-01-13-000570-a")</f>
        <v/>
      </c>
      <c r="C122" t="s" s="2">
        <v>3102</v>
      </c>
      <c r="D122" s="2">
        <f>HYPERLINK("https://my.zakupki.prom.ua/remote/dispatcher/state_contracting_view/7213014", "UA-2021-01-13-000570-a-a1")</f>
        <v/>
      </c>
      <c r="E122" t="s" s="1">
        <v>1296</v>
      </c>
      <c r="F122" t="s" s="1">
        <v>2826</v>
      </c>
      <c r="G122" t="s" s="1">
        <v>2826</v>
      </c>
      <c r="H122" t="s" s="1">
        <v>1061</v>
      </c>
      <c r="I122" t="s" s="1">
        <v>2178</v>
      </c>
      <c r="J122" t="s" s="1">
        <v>3112</v>
      </c>
      <c r="K122" t="s" s="1">
        <v>802</v>
      </c>
      <c r="L122" t="s" s="1">
        <v>646</v>
      </c>
      <c r="M122" t="n" s="5">
        <v>19475.75</v>
      </c>
      <c r="N122" t="n" s="7">
        <v>44209.0</v>
      </c>
      <c r="O122" t="n" s="7">
        <v>44561.0</v>
      </c>
      <c r="P122" t="s" s="1">
        <v>3384</v>
      </c>
    </row>
    <row r="123" spans="1:16">
      <c r="A123" t="n" s="4">
        <v>119</v>
      </c>
      <c r="B123" s="2">
        <f>HYPERLINK("https://my.zakupki.prom.ua/remote/dispatcher/state_purchase_view/22928420", "UA-2021-01-13-000275-a")</f>
        <v/>
      </c>
      <c r="C123" t="s" s="2">
        <v>3102</v>
      </c>
      <c r="D123" s="2">
        <f>HYPERLINK("https://my.zakupki.prom.ua/remote/dispatcher/state_contracting_view/7212699", "UA-2021-01-13-000275-a-a1")</f>
        <v/>
      </c>
      <c r="E123" t="s" s="1">
        <v>1915</v>
      </c>
      <c r="F123" t="s" s="1">
        <v>2870</v>
      </c>
      <c r="G123" t="s" s="1">
        <v>2870</v>
      </c>
      <c r="H123" t="s" s="1">
        <v>1077</v>
      </c>
      <c r="I123" t="s" s="1">
        <v>2178</v>
      </c>
      <c r="J123" t="s" s="1">
        <v>3112</v>
      </c>
      <c r="K123" t="s" s="1">
        <v>802</v>
      </c>
      <c r="L123" t="s" s="1">
        <v>405</v>
      </c>
      <c r="M123" t="n" s="5">
        <v>421.6</v>
      </c>
      <c r="N123" t="n" s="7">
        <v>44209.0</v>
      </c>
      <c r="O123" t="n" s="7">
        <v>44561.0</v>
      </c>
      <c r="P123" t="s" s="1">
        <v>3384</v>
      </c>
    </row>
    <row r="124" spans="1:16">
      <c r="A124" t="n" s="4">
        <v>120</v>
      </c>
      <c r="B124" s="2">
        <f>HYPERLINK("https://my.zakupki.prom.ua/remote/dispatcher/state_purchase_view/25368867", "UA-2021-03-30-000987-c")</f>
        <v/>
      </c>
      <c r="C124" t="s" s="2">
        <v>3102</v>
      </c>
      <c r="D124" s="2">
        <f>HYPERLINK("https://my.zakupki.prom.ua/remote/dispatcher/state_contracting_view/8313168", "UA-2021-03-30-000987-c-c1")</f>
        <v/>
      </c>
      <c r="E124" t="s" s="1">
        <v>1411</v>
      </c>
      <c r="F124" t="s" s="1">
        <v>3003</v>
      </c>
      <c r="G124" t="s" s="1">
        <v>3003</v>
      </c>
      <c r="H124" t="s" s="1">
        <v>1575</v>
      </c>
      <c r="I124" t="s" s="1">
        <v>2178</v>
      </c>
      <c r="J124" t="s" s="1">
        <v>3284</v>
      </c>
      <c r="K124" t="s" s="1">
        <v>771</v>
      </c>
      <c r="L124" t="s" s="1">
        <v>982</v>
      </c>
      <c r="M124" t="n" s="5">
        <v>1890.0</v>
      </c>
      <c r="N124" t="n" s="7">
        <v>44281.0</v>
      </c>
      <c r="O124" t="n" s="7">
        <v>44561.0</v>
      </c>
      <c r="P124" t="s" s="1">
        <v>3384</v>
      </c>
    </row>
    <row r="125" spans="1:16">
      <c r="A125" t="n" s="4">
        <v>121</v>
      </c>
      <c r="B125" s="2">
        <f>HYPERLINK("https://my.zakupki.prom.ua/remote/dispatcher/state_purchase_view/24381988", "UA-2021-02-25-002281-b")</f>
        <v/>
      </c>
      <c r="C125" t="s" s="2">
        <v>3102</v>
      </c>
      <c r="D125" s="2">
        <f>HYPERLINK("https://my.zakupki.prom.ua/remote/dispatcher/state_contracting_view/7936589", "UA-2021-02-25-002281-b-b1")</f>
        <v/>
      </c>
      <c r="E125" t="s" s="1">
        <v>2103</v>
      </c>
      <c r="F125" t="s" s="1">
        <v>2611</v>
      </c>
      <c r="G125" t="s" s="1">
        <v>3369</v>
      </c>
      <c r="H125" t="s" s="1">
        <v>774</v>
      </c>
      <c r="I125" t="s" s="1">
        <v>2178</v>
      </c>
      <c r="J125" t="s" s="1">
        <v>3285</v>
      </c>
      <c r="K125" t="s" s="1">
        <v>463</v>
      </c>
      <c r="L125" t="s" s="1">
        <v>196</v>
      </c>
      <c r="M125" t="n" s="5">
        <v>29973.7</v>
      </c>
      <c r="N125" t="n" s="7">
        <v>44250.0</v>
      </c>
      <c r="O125" t="n" s="7">
        <v>44561.0</v>
      </c>
      <c r="P125" t="s" s="1">
        <v>3384</v>
      </c>
    </row>
    <row r="126" spans="1:16">
      <c r="A126" t="n" s="4">
        <v>122</v>
      </c>
      <c r="B126" s="2">
        <f>HYPERLINK("https://my.zakupki.prom.ua/remote/dispatcher/state_purchase_view/33444156", "UA-2021-12-21-002374-c")</f>
        <v/>
      </c>
      <c r="C126" t="s" s="2">
        <v>3102</v>
      </c>
      <c r="D126" s="2">
        <f>HYPERLINK("https://my.zakupki.prom.ua/remote/dispatcher/state_contracting_view/12100059", "UA-2021-12-21-002374-c-c1")</f>
        <v/>
      </c>
      <c r="E126" t="s" s="1">
        <v>491</v>
      </c>
      <c r="F126" t="s" s="1">
        <v>2680</v>
      </c>
      <c r="G126" t="s" s="1">
        <v>2680</v>
      </c>
      <c r="H126" t="s" s="1">
        <v>774</v>
      </c>
      <c r="I126" t="s" s="1">
        <v>2178</v>
      </c>
      <c r="J126" t="s" s="1">
        <v>3218</v>
      </c>
      <c r="K126" t="s" s="1">
        <v>519</v>
      </c>
      <c r="L126" t="s" s="1">
        <v>1655</v>
      </c>
      <c r="M126" t="n" s="5">
        <v>216000.0</v>
      </c>
      <c r="N126" t="n" s="7">
        <v>44551.0</v>
      </c>
      <c r="O126" t="n" s="7">
        <v>44561.0</v>
      </c>
      <c r="P126" t="s" s="1">
        <v>3384</v>
      </c>
    </row>
    <row r="127" spans="1:16">
      <c r="A127" t="n" s="4">
        <v>123</v>
      </c>
      <c r="B127" s="2">
        <f>HYPERLINK("https://my.zakupki.prom.ua/remote/dispatcher/state_purchase_view/33791661", "UA-2021-12-28-009153-c")</f>
        <v/>
      </c>
      <c r="C127" t="s" s="2">
        <v>3102</v>
      </c>
      <c r="D127" s="2">
        <f>HYPERLINK("https://my.zakupki.prom.ua/remote/dispatcher/state_contracting_view/12272543", "UA-2021-12-28-009153-c-c1")</f>
        <v/>
      </c>
      <c r="E127" t="s" s="1">
        <v>2076</v>
      </c>
      <c r="F127" t="s" s="1">
        <v>2574</v>
      </c>
      <c r="G127" t="s" s="1">
        <v>2574</v>
      </c>
      <c r="H127" t="s" s="1">
        <v>774</v>
      </c>
      <c r="I127" t="s" s="1">
        <v>2178</v>
      </c>
      <c r="J127" t="s" s="1">
        <v>3219</v>
      </c>
      <c r="K127" t="s" s="1">
        <v>519</v>
      </c>
      <c r="L127" t="s" s="1">
        <v>1669</v>
      </c>
      <c r="M127" t="n" s="5">
        <v>1999.94</v>
      </c>
      <c r="N127" t="n" s="7">
        <v>44558.0</v>
      </c>
      <c r="O127" t="n" s="7">
        <v>44561.0</v>
      </c>
      <c r="P127" t="s" s="1">
        <v>3384</v>
      </c>
    </row>
    <row r="128" spans="1:16">
      <c r="A128" t="n" s="4">
        <v>124</v>
      </c>
      <c r="B128" s="2">
        <f>HYPERLINK("https://my.zakupki.prom.ua/remote/dispatcher/state_purchase_view/25263494", "UA-2021-03-26-003760-a")</f>
        <v/>
      </c>
      <c r="C128" t="s" s="2">
        <v>3102</v>
      </c>
      <c r="D128" s="2">
        <f>HYPERLINK("https://my.zakupki.prom.ua/remote/dispatcher/state_contracting_view/8282811", "UA-2021-03-26-003760-a-a1")</f>
        <v/>
      </c>
      <c r="E128" t="s" s="1">
        <v>1279</v>
      </c>
      <c r="F128" t="s" s="1">
        <v>2886</v>
      </c>
      <c r="G128" t="s" s="1">
        <v>2886</v>
      </c>
      <c r="H128" t="s" s="1">
        <v>1083</v>
      </c>
      <c r="I128" t="s" s="1">
        <v>2178</v>
      </c>
      <c r="J128" t="s" s="1">
        <v>3112</v>
      </c>
      <c r="K128" t="s" s="1">
        <v>802</v>
      </c>
      <c r="L128" t="s" s="1">
        <v>420</v>
      </c>
      <c r="M128" t="n" s="5">
        <v>1074.7</v>
      </c>
      <c r="N128" t="n" s="7">
        <v>44281.0</v>
      </c>
      <c r="O128" t="n" s="7">
        <v>44561.0</v>
      </c>
      <c r="P128" t="s" s="1">
        <v>3384</v>
      </c>
    </row>
    <row r="129" spans="1:16">
      <c r="A129" t="n" s="4">
        <v>125</v>
      </c>
      <c r="B129" s="2">
        <f>HYPERLINK("https://my.zakupki.prom.ua/remote/dispatcher/state_purchase_view/25254229", "UA-2021-03-26-007212-c")</f>
        <v/>
      </c>
      <c r="C129" t="s" s="2">
        <v>3102</v>
      </c>
      <c r="D129" s="2">
        <f>HYPERLINK("https://my.zakupki.prom.ua/remote/dispatcher/state_contracting_view/8277004", "UA-2021-03-26-007212-c-c1")</f>
        <v/>
      </c>
      <c r="E129" t="s" s="1">
        <v>1686</v>
      </c>
      <c r="F129" t="s" s="1">
        <v>2445</v>
      </c>
      <c r="G129" t="s" s="1">
        <v>2445</v>
      </c>
      <c r="H129" t="s" s="1">
        <v>706</v>
      </c>
      <c r="I129" t="s" s="1">
        <v>2178</v>
      </c>
      <c r="J129" t="s" s="1">
        <v>3309</v>
      </c>
      <c r="K129" t="s" s="1">
        <v>611</v>
      </c>
      <c r="L129" t="s" s="1">
        <v>3181</v>
      </c>
      <c r="M129" t="n" s="5">
        <v>123.5</v>
      </c>
      <c r="N129" t="n" s="7">
        <v>44281.0</v>
      </c>
      <c r="O129" t="n" s="7">
        <v>44561.0</v>
      </c>
      <c r="P129" t="s" s="1">
        <v>3384</v>
      </c>
    </row>
    <row r="130" spans="1:16">
      <c r="A130" t="n" s="4">
        <v>126</v>
      </c>
      <c r="B130" s="2">
        <f>HYPERLINK("https://my.zakupki.prom.ua/remote/dispatcher/state_purchase_view/25352272", "UA-2021-03-29-004181-b")</f>
        <v/>
      </c>
      <c r="C130" t="s" s="2">
        <v>3102</v>
      </c>
      <c r="D130" s="2">
        <f>HYPERLINK("https://my.zakupki.prom.ua/remote/dispatcher/state_contracting_view/8305015", "UA-2021-03-29-004181-b-b1")</f>
        <v/>
      </c>
      <c r="E130" t="s" s="1">
        <v>1020</v>
      </c>
      <c r="F130" t="s" s="1">
        <v>2676</v>
      </c>
      <c r="G130" t="s" s="1">
        <v>3509</v>
      </c>
      <c r="H130" t="s" s="1">
        <v>774</v>
      </c>
      <c r="I130" t="s" s="1">
        <v>2178</v>
      </c>
      <c r="J130" t="s" s="1">
        <v>3277</v>
      </c>
      <c r="K130" t="s" s="1">
        <v>519</v>
      </c>
      <c r="L130" t="s" s="1">
        <v>626</v>
      </c>
      <c r="M130" t="n" s="5">
        <v>147651.1</v>
      </c>
      <c r="N130" t="n" s="7">
        <v>44284.0</v>
      </c>
      <c r="O130" t="n" s="7">
        <v>44561.0</v>
      </c>
      <c r="P130" t="s" s="1">
        <v>3384</v>
      </c>
    </row>
    <row r="131" spans="1:16">
      <c r="A131" t="n" s="4">
        <v>127</v>
      </c>
      <c r="B131" s="2">
        <f>HYPERLINK("https://my.zakupki.prom.ua/remote/dispatcher/state_purchase_view/24870539", "UA-2021-03-15-001440-b")</f>
        <v/>
      </c>
      <c r="C131" t="s" s="2">
        <v>3102</v>
      </c>
      <c r="D131" s="2">
        <f>HYPERLINK("https://my.zakupki.prom.ua/remote/dispatcher/state_contracting_view/8085388", "UA-2021-03-15-001440-b-b1")</f>
        <v/>
      </c>
      <c r="E131" t="s" s="1">
        <v>940</v>
      </c>
      <c r="F131" t="s" s="1">
        <v>2839</v>
      </c>
      <c r="G131" t="s" s="1">
        <v>2839</v>
      </c>
      <c r="H131" t="s" s="1">
        <v>1068</v>
      </c>
      <c r="I131" t="s" s="1">
        <v>2178</v>
      </c>
      <c r="J131" t="s" s="1">
        <v>3112</v>
      </c>
      <c r="K131" t="s" s="1">
        <v>802</v>
      </c>
      <c r="L131" t="s" s="1">
        <v>1427</v>
      </c>
      <c r="M131" t="n" s="5">
        <v>446.45</v>
      </c>
      <c r="N131" t="n" s="7">
        <v>44270.0</v>
      </c>
      <c r="O131" t="n" s="7">
        <v>44561.0</v>
      </c>
      <c r="P131" t="s" s="1">
        <v>3384</v>
      </c>
    </row>
    <row r="132" spans="1:16">
      <c r="A132" t="n" s="4">
        <v>128</v>
      </c>
      <c r="B132" s="2">
        <f>HYPERLINK("https://my.zakupki.prom.ua/remote/dispatcher/state_purchase_view/24870067", "UA-2021-03-15-001356-b")</f>
        <v/>
      </c>
      <c r="C132" t="s" s="2">
        <v>3102</v>
      </c>
      <c r="D132" s="2">
        <f>HYPERLINK("https://my.zakupki.prom.ua/remote/dispatcher/state_contracting_view/8085273", "UA-2021-03-15-001356-b-b1")</f>
        <v/>
      </c>
      <c r="E132" t="s" s="1">
        <v>1813</v>
      </c>
      <c r="F132" t="s" s="1">
        <v>2324</v>
      </c>
      <c r="G132" t="s" s="1">
        <v>2324</v>
      </c>
      <c r="H132" t="s" s="1">
        <v>346</v>
      </c>
      <c r="I132" t="s" s="1">
        <v>2178</v>
      </c>
      <c r="J132" t="s" s="1">
        <v>3112</v>
      </c>
      <c r="K132" t="s" s="1">
        <v>802</v>
      </c>
      <c r="L132" t="s" s="1">
        <v>1310</v>
      </c>
      <c r="M132" t="n" s="5">
        <v>928.45</v>
      </c>
      <c r="N132" t="n" s="7">
        <v>44270.0</v>
      </c>
      <c r="O132" t="n" s="7">
        <v>44561.0</v>
      </c>
      <c r="P132" t="s" s="1">
        <v>3384</v>
      </c>
    </row>
    <row r="133" spans="1:16">
      <c r="A133" t="n" s="4">
        <v>129</v>
      </c>
      <c r="B133" s="2">
        <f>HYPERLINK("https://my.zakupki.prom.ua/remote/dispatcher/state_purchase_view/24867859", "UA-2021-03-15-000710-b")</f>
        <v/>
      </c>
      <c r="C133" t="s" s="2">
        <v>3102</v>
      </c>
      <c r="D133" s="2">
        <f>HYPERLINK("https://my.zakupki.prom.ua/remote/dispatcher/state_contracting_view/8085238", "UA-2021-03-15-000710-b-b1")</f>
        <v/>
      </c>
      <c r="E133" t="s" s="1">
        <v>964</v>
      </c>
      <c r="F133" t="s" s="1">
        <v>2782</v>
      </c>
      <c r="G133" t="s" s="1">
        <v>3443</v>
      </c>
      <c r="H133" t="s" s="1">
        <v>934</v>
      </c>
      <c r="I133" t="s" s="1">
        <v>2178</v>
      </c>
      <c r="J133" t="s" s="1">
        <v>3112</v>
      </c>
      <c r="K133" t="s" s="1">
        <v>802</v>
      </c>
      <c r="L133" t="s" s="1">
        <v>162</v>
      </c>
      <c r="M133" t="n" s="5">
        <v>7857.0</v>
      </c>
      <c r="N133" t="n" s="7">
        <v>44270.0</v>
      </c>
      <c r="O133" t="n" s="7">
        <v>44561.0</v>
      </c>
      <c r="P133" t="s" s="1">
        <v>3384</v>
      </c>
    </row>
    <row r="134" spans="1:16">
      <c r="A134" t="n" s="4">
        <v>130</v>
      </c>
      <c r="B134" s="2">
        <f>HYPERLINK("https://my.zakupki.prom.ua/remote/dispatcher/state_purchase_view/24866451", "UA-2021-03-15-000304-b")</f>
        <v/>
      </c>
      <c r="C134" t="s" s="2">
        <v>3102</v>
      </c>
      <c r="D134" s="2">
        <f>HYPERLINK("https://my.zakupki.prom.ua/remote/dispatcher/state_contracting_view/8072490", "UA-2021-03-15-000304-b-b1")</f>
        <v/>
      </c>
      <c r="E134" t="s" s="1">
        <v>1401</v>
      </c>
      <c r="F134" t="s" s="1">
        <v>2441</v>
      </c>
      <c r="G134" t="s" s="1">
        <v>2441</v>
      </c>
      <c r="H134" t="s" s="1">
        <v>706</v>
      </c>
      <c r="I134" t="s" s="1">
        <v>2178</v>
      </c>
      <c r="J134" t="s" s="1">
        <v>3112</v>
      </c>
      <c r="K134" t="s" s="1">
        <v>802</v>
      </c>
      <c r="L134" t="s" s="1">
        <v>122</v>
      </c>
      <c r="M134" t="n" s="5">
        <v>3418.5</v>
      </c>
      <c r="N134" t="n" s="7">
        <v>44270.0</v>
      </c>
      <c r="O134" t="n" s="7">
        <v>44561.0</v>
      </c>
      <c r="P134" t="s" s="1">
        <v>3384</v>
      </c>
    </row>
    <row r="135" spans="1:16">
      <c r="A135" t="n" s="4">
        <v>131</v>
      </c>
      <c r="B135" s="2">
        <f>HYPERLINK("https://my.zakupki.prom.ua/remote/dispatcher/state_purchase_view/24788791", "UA-2021-03-11-005383-b")</f>
        <v/>
      </c>
      <c r="C135" t="s" s="2">
        <v>3102</v>
      </c>
      <c r="D135" s="2">
        <f>HYPERLINK("https://my.zakupki.prom.ua/remote/dispatcher/state_contracting_view/8044440", "UA-2021-03-11-005383-b-b1")</f>
        <v/>
      </c>
      <c r="E135" t="s" s="1">
        <v>570</v>
      </c>
      <c r="F135" t="s" s="1">
        <v>2389</v>
      </c>
      <c r="G135" t="s" s="1">
        <v>3395</v>
      </c>
      <c r="H135" t="s" s="1">
        <v>536</v>
      </c>
      <c r="I135" t="s" s="1">
        <v>2178</v>
      </c>
      <c r="J135" t="s" s="1">
        <v>3336</v>
      </c>
      <c r="K135" t="s" s="1">
        <v>545</v>
      </c>
      <c r="L135" t="s" s="1">
        <v>317</v>
      </c>
      <c r="M135" t="n" s="5">
        <v>2375.0</v>
      </c>
      <c r="N135" t="n" s="7">
        <v>44266.0</v>
      </c>
      <c r="O135" t="n" s="7">
        <v>44561.0</v>
      </c>
      <c r="P135" t="s" s="1">
        <v>3384</v>
      </c>
    </row>
    <row r="136" spans="1:16">
      <c r="A136" t="n" s="4">
        <v>132</v>
      </c>
      <c r="B136" s="2">
        <f>HYPERLINK("https://my.zakupki.prom.ua/remote/dispatcher/state_purchase_view/24747455", "UA-2021-03-10-006440-b")</f>
        <v/>
      </c>
      <c r="C136" t="s" s="2">
        <v>3102</v>
      </c>
      <c r="D136" s="2">
        <f>HYPERLINK("https://my.zakupki.prom.ua/remote/dispatcher/state_contracting_view/8021577", "UA-2021-03-10-006440-b-b1")</f>
        <v/>
      </c>
      <c r="E136" t="s" s="1">
        <v>1303</v>
      </c>
      <c r="F136" t="s" s="1">
        <v>2254</v>
      </c>
      <c r="G136" t="s" s="1">
        <v>2254</v>
      </c>
      <c r="H136" t="s" s="1">
        <v>249</v>
      </c>
      <c r="I136" t="s" s="1">
        <v>2178</v>
      </c>
      <c r="J136" t="s" s="1">
        <v>3356</v>
      </c>
      <c r="K136" t="s" s="1">
        <v>814</v>
      </c>
      <c r="L136" t="s" s="1">
        <v>290</v>
      </c>
      <c r="M136" t="n" s="5">
        <v>15980.0</v>
      </c>
      <c r="N136" t="n" s="7">
        <v>44264.0</v>
      </c>
      <c r="O136" t="n" s="7">
        <v>44561.0</v>
      </c>
      <c r="P136" t="s" s="1">
        <v>3384</v>
      </c>
    </row>
    <row r="137" spans="1:16">
      <c r="A137" t="n" s="4">
        <v>133</v>
      </c>
      <c r="B137" s="2">
        <f>HYPERLINK("https://my.zakupki.prom.ua/remote/dispatcher/state_purchase_view/24789268", "UA-2021-03-11-005526-b")</f>
        <v/>
      </c>
      <c r="C137" t="s" s="2">
        <v>3102</v>
      </c>
      <c r="D137" s="2">
        <f>HYPERLINK("https://my.zakupki.prom.ua/remote/dispatcher/state_contracting_view/8045211", "UA-2021-03-11-005526-b-b1")</f>
        <v/>
      </c>
      <c r="E137" t="s" s="1">
        <v>1940</v>
      </c>
      <c r="F137" t="s" s="1">
        <v>2390</v>
      </c>
      <c r="G137" t="s" s="1">
        <v>3396</v>
      </c>
      <c r="H137" t="s" s="1">
        <v>536</v>
      </c>
      <c r="I137" t="s" s="1">
        <v>2178</v>
      </c>
      <c r="J137" t="s" s="1">
        <v>3335</v>
      </c>
      <c r="K137" t="s" s="1">
        <v>545</v>
      </c>
      <c r="L137" t="s" s="1">
        <v>318</v>
      </c>
      <c r="M137" t="n" s="5">
        <v>3700.0</v>
      </c>
      <c r="N137" t="n" s="7">
        <v>44266.0</v>
      </c>
      <c r="O137" t="n" s="7">
        <v>44561.0</v>
      </c>
      <c r="P137" t="s" s="1">
        <v>3384</v>
      </c>
    </row>
    <row r="138" spans="1:16">
      <c r="A138" t="n" s="4">
        <v>134</v>
      </c>
      <c r="B138" s="2">
        <f>HYPERLINK("https://my.zakupki.prom.ua/remote/dispatcher/state_purchase_view/24742601", "UA-2021-03-10-005118-b")</f>
        <v/>
      </c>
      <c r="C138" t="s" s="2">
        <v>3102</v>
      </c>
      <c r="D138" s="2">
        <f>HYPERLINK("https://my.zakupki.prom.ua/remote/dispatcher/state_contracting_view/8013548", "UA-2021-03-10-005118-b-b1")</f>
        <v/>
      </c>
      <c r="E138" t="s" s="1">
        <v>1786</v>
      </c>
      <c r="F138" t="s" s="1">
        <v>2280</v>
      </c>
      <c r="G138" t="s" s="1">
        <v>2279</v>
      </c>
      <c r="H138" t="s" s="1">
        <v>264</v>
      </c>
      <c r="I138" t="s" s="1">
        <v>2178</v>
      </c>
      <c r="J138" t="s" s="1">
        <v>3356</v>
      </c>
      <c r="K138" t="s" s="1">
        <v>814</v>
      </c>
      <c r="L138" t="s" s="1">
        <v>257</v>
      </c>
      <c r="M138" t="n" s="5">
        <v>17812.5</v>
      </c>
      <c r="N138" t="n" s="7">
        <v>44264.0</v>
      </c>
      <c r="O138" t="n" s="7">
        <v>44561.0</v>
      </c>
      <c r="P138" t="s" s="1">
        <v>3384</v>
      </c>
    </row>
    <row r="139" spans="1:16">
      <c r="A139" t="n" s="4">
        <v>135</v>
      </c>
      <c r="B139" s="2">
        <f>HYPERLINK("https://my.zakupki.prom.ua/remote/dispatcher/state_purchase_view/25075115", "UA-2021-03-19-005197-b")</f>
        <v/>
      </c>
      <c r="C139" t="s" s="2">
        <v>3102</v>
      </c>
      <c r="D139" s="2">
        <f>HYPERLINK("https://my.zakupki.prom.ua/remote/dispatcher/state_contracting_view/8180551", "UA-2021-03-19-005197-b-b1")</f>
        <v/>
      </c>
      <c r="E139" t="s" s="1">
        <v>1633</v>
      </c>
      <c r="F139" t="s" s="1">
        <v>2298</v>
      </c>
      <c r="G139" t="s" s="1">
        <v>2298</v>
      </c>
      <c r="H139" t="s" s="1">
        <v>275</v>
      </c>
      <c r="I139" t="s" s="1">
        <v>2178</v>
      </c>
      <c r="J139" t="s" s="1">
        <v>3356</v>
      </c>
      <c r="K139" t="s" s="1">
        <v>814</v>
      </c>
      <c r="L139" t="s" s="1">
        <v>534</v>
      </c>
      <c r="M139" t="n" s="5">
        <v>1000.0</v>
      </c>
      <c r="N139" t="n" s="7">
        <v>44274.0</v>
      </c>
      <c r="O139" t="n" s="7">
        <v>44561.0</v>
      </c>
      <c r="P139" t="s" s="1">
        <v>3384</v>
      </c>
    </row>
    <row r="140" spans="1:16">
      <c r="A140" t="n" s="4">
        <v>136</v>
      </c>
      <c r="B140" s="2">
        <f>HYPERLINK("https://my.zakupki.prom.ua/remote/dispatcher/state_purchase_view/25074872", "UA-2021-03-19-005137-b")</f>
        <v/>
      </c>
      <c r="C140" t="s" s="2">
        <v>3102</v>
      </c>
      <c r="D140" s="2">
        <f>HYPERLINK("https://my.zakupki.prom.ua/remote/dispatcher/state_contracting_view/8180634", "UA-2021-03-19-005137-b-b1")</f>
        <v/>
      </c>
      <c r="E140" t="s" s="1">
        <v>1702</v>
      </c>
      <c r="F140" t="s" s="1">
        <v>2301</v>
      </c>
      <c r="G140" t="s" s="1">
        <v>2301</v>
      </c>
      <c r="H140" t="s" s="1">
        <v>276</v>
      </c>
      <c r="I140" t="s" s="1">
        <v>2178</v>
      </c>
      <c r="J140" t="s" s="1">
        <v>3356</v>
      </c>
      <c r="K140" t="s" s="1">
        <v>814</v>
      </c>
      <c r="L140" t="s" s="1">
        <v>532</v>
      </c>
      <c r="M140" t="n" s="5">
        <v>5200.0</v>
      </c>
      <c r="N140" t="n" s="7">
        <v>44274.0</v>
      </c>
      <c r="O140" t="n" s="7">
        <v>44561.0</v>
      </c>
      <c r="P140" t="s" s="1">
        <v>3384</v>
      </c>
    </row>
    <row r="141" spans="1:16">
      <c r="A141" t="n" s="4">
        <v>137</v>
      </c>
      <c r="B141" s="2">
        <f>HYPERLINK("https://my.zakupki.prom.ua/remote/dispatcher/state_purchase_view/25061117", "UA-2021-03-19-001266-b")</f>
        <v/>
      </c>
      <c r="C141" t="s" s="2">
        <v>3102</v>
      </c>
      <c r="D141" s="2">
        <f>HYPERLINK("https://my.zakupki.prom.ua/remote/dispatcher/state_contracting_view/8166305", "UA-2021-03-19-001266-b-b1")</f>
        <v/>
      </c>
      <c r="E141" t="s" s="1">
        <v>1893</v>
      </c>
      <c r="F141" t="s" s="1">
        <v>2270</v>
      </c>
      <c r="G141" t="s" s="1">
        <v>2270</v>
      </c>
      <c r="H141" t="s" s="1">
        <v>260</v>
      </c>
      <c r="I141" t="s" s="1">
        <v>2178</v>
      </c>
      <c r="J141" t="s" s="1">
        <v>3356</v>
      </c>
      <c r="K141" t="s" s="1">
        <v>814</v>
      </c>
      <c r="L141" t="s" s="1">
        <v>509</v>
      </c>
      <c r="M141" t="n" s="5">
        <v>19500.0</v>
      </c>
      <c r="N141" t="n" s="7">
        <v>44274.0</v>
      </c>
      <c r="O141" t="n" s="7">
        <v>44561.0</v>
      </c>
      <c r="P141" t="s" s="1">
        <v>3384</v>
      </c>
    </row>
    <row r="142" spans="1:16">
      <c r="A142" t="n" s="4">
        <v>138</v>
      </c>
      <c r="B142" s="2">
        <f>HYPERLINK("https://my.zakupki.prom.ua/remote/dispatcher/state_purchase_view/24918735", "UA-2021-03-16-000609-a")</f>
        <v/>
      </c>
      <c r="C142" t="s" s="2">
        <v>3102</v>
      </c>
      <c r="D142" s="2">
        <f>HYPERLINK("https://my.zakupki.prom.ua/remote/dispatcher/state_contracting_view/8113894", "UA-2021-03-16-000609-a-a1")</f>
        <v/>
      </c>
      <c r="E142" t="s" s="1">
        <v>1904</v>
      </c>
      <c r="F142" t="s" s="1">
        <v>2824</v>
      </c>
      <c r="G142" t="s" s="1">
        <v>2824</v>
      </c>
      <c r="H142" t="s" s="1">
        <v>1061</v>
      </c>
      <c r="I142" t="s" s="1">
        <v>2178</v>
      </c>
      <c r="J142" t="s" s="1">
        <v>3343</v>
      </c>
      <c r="K142" t="s" s="1">
        <v>517</v>
      </c>
      <c r="L142" t="s" s="1">
        <v>449</v>
      </c>
      <c r="M142" t="n" s="5">
        <v>17500.0</v>
      </c>
      <c r="N142" t="n" s="7">
        <v>44271.0</v>
      </c>
      <c r="O142" t="n" s="7">
        <v>44561.0</v>
      </c>
      <c r="P142" t="s" s="1">
        <v>3384</v>
      </c>
    </row>
    <row r="143" spans="1:16">
      <c r="A143" t="n" s="4">
        <v>139</v>
      </c>
      <c r="B143" s="2">
        <f>HYPERLINK("https://my.zakupki.prom.ua/remote/dispatcher/state_purchase_view/24427536", "UA-2021-02-26-002669-a")</f>
        <v/>
      </c>
      <c r="C143" t="s" s="2">
        <v>3102</v>
      </c>
      <c r="D143" s="2">
        <f>HYPERLINK("https://my.zakupki.prom.ua/remote/dispatcher/state_contracting_view/8141917", "UA-2021-02-26-002669-a-b1")</f>
        <v/>
      </c>
      <c r="E143" t="s" s="1">
        <v>1908</v>
      </c>
      <c r="F143" t="s" s="1">
        <v>2495</v>
      </c>
      <c r="G143" t="s" s="1">
        <v>3098</v>
      </c>
      <c r="H143" t="s" s="1">
        <v>759</v>
      </c>
      <c r="I143" t="s" s="1">
        <v>3171</v>
      </c>
      <c r="J143" t="s" s="1">
        <v>3286</v>
      </c>
      <c r="K143" t="s" s="1">
        <v>820</v>
      </c>
      <c r="L143" t="s" s="1">
        <v>484</v>
      </c>
      <c r="M143" t="n" s="5">
        <v>129179.01</v>
      </c>
      <c r="N143" t="n" s="7">
        <v>44273.0</v>
      </c>
      <c r="O143" t="n" s="7">
        <v>44561.0</v>
      </c>
      <c r="P143" t="s" s="1">
        <v>3384</v>
      </c>
    </row>
    <row r="144" spans="1:16">
      <c r="A144" t="n" s="4">
        <v>140</v>
      </c>
      <c r="B144" s="2">
        <f>HYPERLINK("https://my.zakupki.prom.ua/remote/dispatcher/state_purchase_view/25255211", "UA-2021-03-26-000803-a")</f>
        <v/>
      </c>
      <c r="C144" t="s" s="2">
        <v>3102</v>
      </c>
      <c r="D144" s="2">
        <f>HYPERLINK("https://my.zakupki.prom.ua/remote/dispatcher/state_contracting_view/8277487", "UA-2021-03-26-000803-a-a1")</f>
        <v/>
      </c>
      <c r="E144" t="s" s="1">
        <v>631</v>
      </c>
      <c r="F144" t="s" s="1">
        <v>2848</v>
      </c>
      <c r="G144" t="s" s="1">
        <v>3438</v>
      </c>
      <c r="H144" t="s" s="1">
        <v>1072</v>
      </c>
      <c r="I144" t="s" s="1">
        <v>2178</v>
      </c>
      <c r="J144" t="s" s="1">
        <v>3309</v>
      </c>
      <c r="K144" t="s" s="1">
        <v>611</v>
      </c>
      <c r="L144" t="s" s="1">
        <v>3187</v>
      </c>
      <c r="M144" t="n" s="5">
        <v>8195.0</v>
      </c>
      <c r="N144" t="n" s="7">
        <v>44281.0</v>
      </c>
      <c r="O144" t="n" s="7">
        <v>44561.0</v>
      </c>
      <c r="P144" t="s" s="1">
        <v>3384</v>
      </c>
    </row>
    <row r="145" spans="1:16">
      <c r="A145" t="n" s="4">
        <v>141</v>
      </c>
      <c r="B145" s="2">
        <f>HYPERLINK("https://my.zakupki.prom.ua/remote/dispatcher/state_purchase_view/25188408", "UA-2021-03-24-003147-b")</f>
        <v/>
      </c>
      <c r="C145" t="s" s="2">
        <v>3102</v>
      </c>
      <c r="D145" s="2">
        <f>HYPERLINK("https://my.zakupki.prom.ua/remote/dispatcher/state_contracting_view/8235165", "UA-2021-03-24-003147-b-b1")</f>
        <v/>
      </c>
      <c r="E145" t="s" s="1">
        <v>1923</v>
      </c>
      <c r="F145" t="s" s="1">
        <v>2778</v>
      </c>
      <c r="G145" t="s" s="1">
        <v>2778</v>
      </c>
      <c r="H145" t="s" s="1">
        <v>929</v>
      </c>
      <c r="I145" t="s" s="1">
        <v>2178</v>
      </c>
      <c r="J145" t="s" s="1">
        <v>3306</v>
      </c>
      <c r="K145" t="s" s="1">
        <v>996</v>
      </c>
      <c r="L145" t="s" s="1">
        <v>3072</v>
      </c>
      <c r="M145" t="n" s="5">
        <v>1200.0</v>
      </c>
      <c r="N145" t="n" s="7">
        <v>44279.0</v>
      </c>
      <c r="O145" t="n" s="7">
        <v>44561.0</v>
      </c>
      <c r="P145" t="s" s="1">
        <v>3384</v>
      </c>
    </row>
    <row r="146" spans="1:16">
      <c r="A146" t="n" s="4">
        <v>142</v>
      </c>
      <c r="B146" s="2">
        <f>HYPERLINK("https://my.zakupki.prom.ua/remote/dispatcher/state_purchase_view/25105001", "UA-2021-03-22-000605-a")</f>
        <v/>
      </c>
      <c r="C146" t="s" s="2">
        <v>3102</v>
      </c>
      <c r="D146" s="2">
        <f>HYPERLINK("https://my.zakupki.prom.ua/remote/dispatcher/state_contracting_view/8187085", "UA-2021-03-22-000605-a-a1")</f>
        <v/>
      </c>
      <c r="E146" t="s" s="1">
        <v>1289</v>
      </c>
      <c r="F146" t="s" s="1">
        <v>2387</v>
      </c>
      <c r="G146" t="s" s="1">
        <v>3391</v>
      </c>
      <c r="H146" t="s" s="1">
        <v>536</v>
      </c>
      <c r="I146" t="s" s="1">
        <v>2178</v>
      </c>
      <c r="J146" t="s" s="1">
        <v>3306</v>
      </c>
      <c r="K146" t="s" s="1">
        <v>996</v>
      </c>
      <c r="L146" t="s" s="1">
        <v>3070</v>
      </c>
      <c r="M146" t="n" s="5">
        <v>8360.0</v>
      </c>
      <c r="N146" t="n" s="7">
        <v>44277.0</v>
      </c>
      <c r="O146" t="n" s="7">
        <v>44561.0</v>
      </c>
      <c r="P146" t="s" s="1">
        <v>3384</v>
      </c>
    </row>
    <row r="147" spans="1:16">
      <c r="A147" t="n" s="4">
        <v>143</v>
      </c>
      <c r="B147" s="2">
        <f>HYPERLINK("https://my.zakupki.prom.ua/remote/dispatcher/state_purchase_view/26612828", "UA-2021-05-18-000320-b")</f>
        <v/>
      </c>
      <c r="C147" t="s" s="2">
        <v>3102</v>
      </c>
      <c r="D147" s="2">
        <f>HYPERLINK("https://my.zakupki.prom.ua/remote/dispatcher/state_contracting_view/8907444", "UA-2021-05-18-000320-b-b1")</f>
        <v/>
      </c>
      <c r="E147" t="s" s="1">
        <v>1815</v>
      </c>
      <c r="F147" t="s" s="1">
        <v>2640</v>
      </c>
      <c r="G147" t="s" s="1">
        <v>3434</v>
      </c>
      <c r="H147" t="s" s="1">
        <v>774</v>
      </c>
      <c r="I147" t="s" s="1">
        <v>2178</v>
      </c>
      <c r="J147" t="s" s="1">
        <v>3264</v>
      </c>
      <c r="K147" t="s" s="1">
        <v>864</v>
      </c>
      <c r="L147" t="s" s="1">
        <v>311</v>
      </c>
      <c r="M147" t="n" s="5">
        <v>64080.0</v>
      </c>
      <c r="N147" t="n" s="7">
        <v>44333.0</v>
      </c>
      <c r="O147" t="n" s="7">
        <v>44561.0</v>
      </c>
      <c r="P147" t="s" s="1">
        <v>3384</v>
      </c>
    </row>
    <row r="148" spans="1:16">
      <c r="A148" t="n" s="4">
        <v>144</v>
      </c>
      <c r="B148" s="2">
        <f>HYPERLINK("https://my.zakupki.prom.ua/remote/dispatcher/state_purchase_view/26105177", "UA-2021-04-23-005165-b")</f>
        <v/>
      </c>
      <c r="C148" t="s" s="2">
        <v>3102</v>
      </c>
      <c r="D148" s="2">
        <f>HYPERLINK("https://my.zakupki.prom.ua/remote/dispatcher/state_contracting_view/8663930", "UA-2021-04-23-005165-b-b1")</f>
        <v/>
      </c>
      <c r="E148" t="s" s="1">
        <v>1362</v>
      </c>
      <c r="F148" t="s" s="1">
        <v>2627</v>
      </c>
      <c r="G148" t="s" s="1">
        <v>3411</v>
      </c>
      <c r="H148" t="s" s="1">
        <v>774</v>
      </c>
      <c r="I148" t="s" s="1">
        <v>2178</v>
      </c>
      <c r="J148" t="s" s="1">
        <v>3131</v>
      </c>
      <c r="K148" t="s" s="1">
        <v>658</v>
      </c>
      <c r="L148" t="s" s="1">
        <v>579</v>
      </c>
      <c r="M148" t="n" s="5">
        <v>19685.69</v>
      </c>
      <c r="N148" t="n" s="7">
        <v>44308.0</v>
      </c>
      <c r="O148" t="n" s="7">
        <v>44561.0</v>
      </c>
      <c r="P148" t="s" s="1">
        <v>3384</v>
      </c>
    </row>
    <row r="149" spans="1:16">
      <c r="A149" t="n" s="4">
        <v>145</v>
      </c>
      <c r="B149" s="2">
        <f>HYPERLINK("https://my.zakupki.prom.ua/remote/dispatcher/state_purchase_view/26460369", "UA-2021-05-12-008134-b")</f>
        <v/>
      </c>
      <c r="C149" t="s" s="2">
        <v>3102</v>
      </c>
      <c r="D149" s="2">
        <f>HYPERLINK("https://my.zakupki.prom.ua/remote/dispatcher/state_contracting_view/8837331", "UA-2021-05-12-008134-b-b1")</f>
        <v/>
      </c>
      <c r="E149" t="s" s="1">
        <v>1261</v>
      </c>
      <c r="F149" t="s" s="1">
        <v>2664</v>
      </c>
      <c r="G149" t="s" s="1">
        <v>3480</v>
      </c>
      <c r="H149" t="s" s="1">
        <v>774</v>
      </c>
      <c r="I149" t="s" s="1">
        <v>2178</v>
      </c>
      <c r="J149" t="s" s="1">
        <v>3258</v>
      </c>
      <c r="K149" t="s" s="1">
        <v>776</v>
      </c>
      <c r="L149" t="s" s="1">
        <v>323</v>
      </c>
      <c r="M149" t="n" s="5">
        <v>3190.0</v>
      </c>
      <c r="N149" t="n" s="7">
        <v>44328.0</v>
      </c>
      <c r="O149" t="n" s="7">
        <v>44561.0</v>
      </c>
      <c r="P149" t="s" s="1">
        <v>3384</v>
      </c>
    </row>
    <row r="150" spans="1:16">
      <c r="A150" t="n" s="4">
        <v>146</v>
      </c>
      <c r="B150" s="2">
        <f>HYPERLINK("https://my.zakupki.prom.ua/remote/dispatcher/state_purchase_view/32214710", "UA-2021-11-25-005384-a")</f>
        <v/>
      </c>
      <c r="C150" t="s" s="2">
        <v>3102</v>
      </c>
      <c r="D150" s="2">
        <f>HYPERLINK("https://my.zakupki.prom.ua/remote/dispatcher/state_contracting_view/11519617", "UA-2021-11-25-005384-a-a1")</f>
        <v/>
      </c>
      <c r="E150" t="s" s="1">
        <v>1264</v>
      </c>
      <c r="F150" t="s" s="1">
        <v>2700</v>
      </c>
      <c r="G150" t="s" s="1">
        <v>3393</v>
      </c>
      <c r="H150" t="s" s="1">
        <v>775</v>
      </c>
      <c r="I150" t="s" s="1">
        <v>2178</v>
      </c>
      <c r="J150" t="s" s="1">
        <v>3241</v>
      </c>
      <c r="K150" t="s" s="1">
        <v>996</v>
      </c>
      <c r="L150" t="s" s="1">
        <v>3054</v>
      </c>
      <c r="M150" t="n" s="5">
        <v>10914.0</v>
      </c>
      <c r="N150" t="n" s="7">
        <v>44525.0</v>
      </c>
      <c r="O150" t="n" s="7">
        <v>44561.0</v>
      </c>
      <c r="P150" t="s" s="1">
        <v>3384</v>
      </c>
    </row>
    <row r="151" spans="1:16">
      <c r="A151" t="n" s="4">
        <v>147</v>
      </c>
      <c r="B151" s="2">
        <f>HYPERLINK("https://my.zakupki.prom.ua/remote/dispatcher/state_purchase_view/30712329", "UA-2021-10-12-005123-b")</f>
        <v/>
      </c>
      <c r="C151" t="s" s="2">
        <v>3102</v>
      </c>
      <c r="D151" s="2">
        <f>HYPERLINK("https://my.zakupki.prom.ua/remote/dispatcher/state_contracting_view/10839681", "UA-2021-10-12-005123-b-b1")</f>
        <v/>
      </c>
      <c r="E151" t="s" s="1">
        <v>1787</v>
      </c>
      <c r="F151" t="s" s="1">
        <v>2591</v>
      </c>
      <c r="G151" t="s" s="1">
        <v>2591</v>
      </c>
      <c r="H151" t="s" s="1">
        <v>774</v>
      </c>
      <c r="I151" t="s" s="1">
        <v>2178</v>
      </c>
      <c r="J151" t="s" s="1">
        <v>3234</v>
      </c>
      <c r="K151" t="s" s="1">
        <v>522</v>
      </c>
      <c r="L151" t="s" s="1">
        <v>1507</v>
      </c>
      <c r="M151" t="n" s="5">
        <v>540990.0</v>
      </c>
      <c r="N151" t="n" s="7">
        <v>44480.0</v>
      </c>
      <c r="O151" t="n" s="7">
        <v>44561.0</v>
      </c>
      <c r="P151" t="s" s="1">
        <v>3384</v>
      </c>
    </row>
    <row r="152" spans="1:16">
      <c r="A152" t="n" s="4">
        <v>148</v>
      </c>
      <c r="B152" s="2">
        <f>HYPERLINK("https://my.zakupki.prom.ua/remote/dispatcher/state_purchase_view/26261153", "UA-2021-04-29-006026-c")</f>
        <v/>
      </c>
      <c r="C152" t="s" s="2">
        <v>3102</v>
      </c>
      <c r="D152" s="2">
        <f>HYPERLINK("https://my.zakupki.prom.ua/remote/dispatcher/state_contracting_view/8739636", "UA-2021-04-29-006026-c-c1")</f>
        <v/>
      </c>
      <c r="E152" t="s" s="1">
        <v>874</v>
      </c>
      <c r="F152" t="s" s="1">
        <v>2867</v>
      </c>
      <c r="G152" t="s" s="1">
        <v>2867</v>
      </c>
      <c r="H152" t="s" s="1">
        <v>1077</v>
      </c>
      <c r="I152" t="s" s="1">
        <v>2178</v>
      </c>
      <c r="J152" t="s" s="1">
        <v>3112</v>
      </c>
      <c r="K152" t="s" s="1">
        <v>802</v>
      </c>
      <c r="L152" t="s" s="1">
        <v>751</v>
      </c>
      <c r="M152" t="n" s="5">
        <v>123.4</v>
      </c>
      <c r="N152" t="n" s="7">
        <v>44315.0</v>
      </c>
      <c r="O152" t="n" s="7">
        <v>44561.0</v>
      </c>
      <c r="P152" t="s" s="1">
        <v>3384</v>
      </c>
    </row>
    <row r="153" spans="1:16">
      <c r="A153" t="n" s="4">
        <v>149</v>
      </c>
      <c r="B153" s="2">
        <f>HYPERLINK("https://my.zakupki.prom.ua/remote/dispatcher/state_purchase_view/23413095", "UA-2021-01-29-000362-b")</f>
        <v/>
      </c>
      <c r="C153" t="s" s="2">
        <v>3102</v>
      </c>
      <c r="D153" s="2">
        <f>HYPERLINK("https://my.zakupki.prom.ua/remote/dispatcher/state_contracting_view/7401631", "UA-2021-01-29-000362-b-b1")</f>
        <v/>
      </c>
      <c r="E153" t="s" s="1">
        <v>1961</v>
      </c>
      <c r="F153" t="s" s="1">
        <v>2978</v>
      </c>
      <c r="G153" t="s" s="1">
        <v>2978</v>
      </c>
      <c r="H153" t="s" s="1">
        <v>1461</v>
      </c>
      <c r="I153" t="s" s="1">
        <v>2178</v>
      </c>
      <c r="J153" t="s" s="1">
        <v>3128</v>
      </c>
      <c r="K153" t="s" s="1">
        <v>753</v>
      </c>
      <c r="L153" t="s" s="1">
        <v>1363</v>
      </c>
      <c r="M153" t="n" s="5">
        <v>1600.0</v>
      </c>
      <c r="N153" t="n" s="7">
        <v>44225.0</v>
      </c>
      <c r="O153" t="n" s="7">
        <v>44561.0</v>
      </c>
      <c r="P153" t="s" s="1">
        <v>3384</v>
      </c>
    </row>
    <row r="154" spans="1:16">
      <c r="A154" t="n" s="4">
        <v>150</v>
      </c>
      <c r="B154" s="2">
        <f>HYPERLINK("https://my.zakupki.prom.ua/remote/dispatcher/state_purchase_view/29282824", "UA-2021-08-26-009023-a")</f>
        <v/>
      </c>
      <c r="C154" t="s" s="2">
        <v>3102</v>
      </c>
      <c r="D154" s="2">
        <f>HYPERLINK("https://my.zakupki.prom.ua/remote/dispatcher/state_contracting_view/10168267", "UA-2021-08-26-009023-a-a1")</f>
        <v/>
      </c>
      <c r="E154" t="s" s="1">
        <v>1225</v>
      </c>
      <c r="F154" t="s" s="1">
        <v>2994</v>
      </c>
      <c r="G154" t="s" s="1">
        <v>2994</v>
      </c>
      <c r="H154" t="s" s="1">
        <v>1573</v>
      </c>
      <c r="I154" t="s" s="1">
        <v>2178</v>
      </c>
      <c r="J154" t="s" s="1">
        <v>3084</v>
      </c>
      <c r="K154" t="s" s="1">
        <v>36</v>
      </c>
      <c r="L154" t="s" s="1">
        <v>1245</v>
      </c>
      <c r="M154" t="n" s="5">
        <v>14025.0</v>
      </c>
      <c r="N154" t="n" s="7">
        <v>44434.0</v>
      </c>
      <c r="O154" t="n" s="7">
        <v>44561.0</v>
      </c>
      <c r="P154" t="s" s="1">
        <v>3384</v>
      </c>
    </row>
    <row r="155" spans="1:16">
      <c r="A155" t="n" s="4">
        <v>151</v>
      </c>
      <c r="B155" s="2">
        <f>HYPERLINK("https://my.zakupki.prom.ua/remote/dispatcher/state_purchase_view/27904214", "UA-2021-07-02-000432-c")</f>
        <v/>
      </c>
      <c r="C155" t="s" s="2">
        <v>3102</v>
      </c>
      <c r="D155" s="2">
        <f>HYPERLINK("https://my.zakupki.prom.ua/remote/dispatcher/state_contracting_view/9521664", "UA-2021-07-02-000432-c-c1")</f>
        <v/>
      </c>
      <c r="E155" t="s" s="1">
        <v>1455</v>
      </c>
      <c r="F155" t="s" s="1">
        <v>2930</v>
      </c>
      <c r="G155" t="s" s="1">
        <v>2930</v>
      </c>
      <c r="H155" t="s" s="1">
        <v>1185</v>
      </c>
      <c r="I155" t="s" s="1">
        <v>2178</v>
      </c>
      <c r="J155" t="s" s="1">
        <v>403</v>
      </c>
      <c r="K155" t="s" s="1">
        <v>221</v>
      </c>
      <c r="L155" t="s" s="1">
        <v>999</v>
      </c>
      <c r="M155" t="n" s="5">
        <v>1931.43</v>
      </c>
      <c r="N155" t="n" s="7">
        <v>44378.0</v>
      </c>
      <c r="O155" t="n" s="7">
        <v>44561.0</v>
      </c>
      <c r="P155" t="s" s="1">
        <v>3384</v>
      </c>
    </row>
    <row r="156" spans="1:16">
      <c r="A156" t="n" s="4">
        <v>152</v>
      </c>
      <c r="B156" s="2">
        <f>HYPERLINK("https://my.zakupki.prom.ua/remote/dispatcher/state_purchase_view/30809559", "UA-2021-10-18-004630-c")</f>
        <v/>
      </c>
      <c r="C156" t="s" s="2">
        <v>3102</v>
      </c>
      <c r="D156" s="2">
        <f>HYPERLINK("https://my.zakupki.prom.ua/remote/dispatcher/state_contracting_view/10892058", "UA-2021-10-18-004630-c-c1")</f>
        <v/>
      </c>
      <c r="E156" t="s" s="1">
        <v>1891</v>
      </c>
      <c r="F156" t="s" s="1">
        <v>2986</v>
      </c>
      <c r="G156" t="s" s="1">
        <v>2986</v>
      </c>
      <c r="H156" t="s" s="1">
        <v>1532</v>
      </c>
      <c r="I156" t="s" s="1">
        <v>2178</v>
      </c>
      <c r="J156" t="s" s="1">
        <v>3092</v>
      </c>
      <c r="K156" t="s" s="1">
        <v>577</v>
      </c>
      <c r="L156" t="s" s="1">
        <v>1214</v>
      </c>
      <c r="M156" t="n" s="5">
        <v>10000.0</v>
      </c>
      <c r="N156" t="n" s="7">
        <v>44487.0</v>
      </c>
      <c r="O156" t="n" s="7">
        <v>44561.0</v>
      </c>
      <c r="P156" t="s" s="1">
        <v>3384</v>
      </c>
    </row>
    <row r="157" spans="1:16">
      <c r="A157" t="n" s="4">
        <v>153</v>
      </c>
      <c r="B157" s="2">
        <f>HYPERLINK("https://my.zakupki.prom.ua/remote/dispatcher/state_purchase_view/26051362", "UA-2021-04-22-002003-a")</f>
        <v/>
      </c>
      <c r="C157" t="s" s="2">
        <v>3102</v>
      </c>
      <c r="D157" s="2">
        <f>HYPERLINK("https://my.zakupki.prom.ua/remote/dispatcher/state_contracting_view/8638149", "UA-2021-04-22-002003-a-a1")</f>
        <v/>
      </c>
      <c r="E157" t="s" s="1">
        <v>1814</v>
      </c>
      <c r="F157" t="s" s="1">
        <v>2961</v>
      </c>
      <c r="G157" t="s" s="1">
        <v>2961</v>
      </c>
      <c r="H157" t="s" s="1">
        <v>1450</v>
      </c>
      <c r="I157" t="s" s="1">
        <v>2178</v>
      </c>
      <c r="J157" t="s" s="1">
        <v>2134</v>
      </c>
      <c r="K157" t="s" s="1">
        <v>370</v>
      </c>
      <c r="L157" t="s" s="1">
        <v>11</v>
      </c>
      <c r="M157" t="n" s="5">
        <v>2725.0</v>
      </c>
      <c r="N157" t="n" s="7">
        <v>44308.0</v>
      </c>
      <c r="O157" t="n" s="7">
        <v>44561.0</v>
      </c>
      <c r="P157" t="s" s="1">
        <v>3384</v>
      </c>
    </row>
    <row r="158" spans="1:16">
      <c r="A158" t="n" s="4">
        <v>154</v>
      </c>
      <c r="B158" s="2">
        <f>HYPERLINK("https://my.zakupki.prom.ua/remote/dispatcher/state_purchase_view/25554565", "UA-2021-04-06-001283-c")</f>
        <v/>
      </c>
      <c r="C158" t="s" s="2">
        <v>3102</v>
      </c>
      <c r="D158" s="2">
        <f>HYPERLINK("https://my.zakupki.prom.ua/remote/dispatcher/state_contracting_view/8401334", "UA-2021-04-06-001283-c-c1")</f>
        <v/>
      </c>
      <c r="E158" t="s" s="1">
        <v>1962</v>
      </c>
      <c r="F158" t="s" s="1">
        <v>2982</v>
      </c>
      <c r="G158" t="s" s="1">
        <v>2982</v>
      </c>
      <c r="H158" t="s" s="1">
        <v>1463</v>
      </c>
      <c r="I158" t="s" s="1">
        <v>2178</v>
      </c>
      <c r="J158" t="s" s="1">
        <v>3267</v>
      </c>
      <c r="K158" t="s" s="1">
        <v>1041</v>
      </c>
      <c r="L158" t="s" s="1">
        <v>215</v>
      </c>
      <c r="M158" t="n" s="5">
        <v>24500.0</v>
      </c>
      <c r="N158" t="n" s="7">
        <v>44290.0</v>
      </c>
      <c r="O158" t="n" s="7">
        <v>44561.0</v>
      </c>
      <c r="P158" t="s" s="1">
        <v>3384</v>
      </c>
    </row>
    <row r="159" spans="1:16">
      <c r="A159" t="n" s="4">
        <v>155</v>
      </c>
      <c r="B159" s="2">
        <f>HYPERLINK("https://my.zakupki.prom.ua/remote/dispatcher/state_purchase_view/31611500", "UA-2021-11-10-002659-a")</f>
        <v/>
      </c>
      <c r="C159" t="s" s="2">
        <v>3102</v>
      </c>
      <c r="D159" s="2">
        <f>HYPERLINK("https://my.zakupki.prom.ua/remote/dispatcher/state_contracting_view/11244351", "UA-2021-11-10-002659-a-a1")</f>
        <v/>
      </c>
      <c r="E159" t="s" s="1">
        <v>1882</v>
      </c>
      <c r="F159" t="s" s="1">
        <v>3047</v>
      </c>
      <c r="G159" t="s" s="1">
        <v>3047</v>
      </c>
      <c r="H159" t="s" s="1">
        <v>278</v>
      </c>
      <c r="I159" t="s" s="1">
        <v>2178</v>
      </c>
      <c r="J159" t="s" s="1">
        <v>3356</v>
      </c>
      <c r="K159" t="s" s="1">
        <v>814</v>
      </c>
      <c r="L159" t="s" s="1">
        <v>1569</v>
      </c>
      <c r="M159" t="n" s="5">
        <v>2780.0</v>
      </c>
      <c r="N159" t="n" s="7">
        <v>44510.0</v>
      </c>
      <c r="O159" t="n" s="7">
        <v>44561.0</v>
      </c>
      <c r="P159" t="s" s="1">
        <v>3384</v>
      </c>
    </row>
    <row r="160" spans="1:16">
      <c r="A160" t="n" s="4">
        <v>156</v>
      </c>
      <c r="B160" s="2">
        <f>HYPERLINK("https://my.zakupki.prom.ua/remote/dispatcher/state_purchase_view/30587346", "UA-2021-10-07-010423-b")</f>
        <v/>
      </c>
      <c r="C160" t="s" s="2">
        <v>3102</v>
      </c>
      <c r="D160" s="2">
        <f>HYPERLINK("https://my.zakupki.prom.ua/remote/dispatcher/state_contracting_view/10770464", "UA-2021-10-07-010423-b-b1")</f>
        <v/>
      </c>
      <c r="E160" t="s" s="1">
        <v>1330</v>
      </c>
      <c r="F160" t="s" s="1">
        <v>2367</v>
      </c>
      <c r="G160" t="s" s="1">
        <v>2367</v>
      </c>
      <c r="H160" t="s" s="1">
        <v>528</v>
      </c>
      <c r="I160" t="s" s="1">
        <v>2178</v>
      </c>
      <c r="J160" t="s" s="1">
        <v>2124</v>
      </c>
      <c r="K160" t="s" s="1">
        <v>74</v>
      </c>
      <c r="L160" t="s" s="1">
        <v>330</v>
      </c>
      <c r="M160" t="n" s="5">
        <v>100000.0</v>
      </c>
      <c r="N160" t="n" s="7">
        <v>44476.0</v>
      </c>
      <c r="O160" t="n" s="7">
        <v>44561.0</v>
      </c>
      <c r="P160" t="s" s="1">
        <v>3384</v>
      </c>
    </row>
    <row r="161" spans="1:16">
      <c r="A161" t="n" s="4">
        <v>157</v>
      </c>
      <c r="B161" s="2">
        <f>HYPERLINK("https://my.zakupki.prom.ua/remote/dispatcher/state_purchase_view/31813018", "UA-2021-11-16-000781-a")</f>
        <v/>
      </c>
      <c r="C161" t="s" s="2">
        <v>3102</v>
      </c>
      <c r="D161" s="2">
        <f>HYPERLINK("https://my.zakupki.prom.ua/remote/dispatcher/state_contracting_view/11362930", "UA-2021-11-16-000781-a-a1")</f>
        <v/>
      </c>
      <c r="E161" t="s" s="1">
        <v>1534</v>
      </c>
      <c r="F161" t="s" s="1">
        <v>2554</v>
      </c>
      <c r="G161" t="s" s="1">
        <v>3048</v>
      </c>
      <c r="H161" t="s" s="1">
        <v>763</v>
      </c>
      <c r="I161" t="s" s="1">
        <v>2178</v>
      </c>
      <c r="J161" t="s" s="1">
        <v>3329</v>
      </c>
      <c r="K161" t="s" s="1">
        <v>619</v>
      </c>
      <c r="L161" t="s" s="1">
        <v>1586</v>
      </c>
      <c r="M161" t="n" s="5">
        <v>41470.0</v>
      </c>
      <c r="N161" t="n" s="7">
        <v>44515.0</v>
      </c>
      <c r="O161" t="n" s="7">
        <v>44561.0</v>
      </c>
      <c r="P161" t="s" s="1">
        <v>3384</v>
      </c>
    </row>
    <row r="162" spans="1:16">
      <c r="A162" t="n" s="4">
        <v>158</v>
      </c>
      <c r="B162" s="2">
        <f>HYPERLINK("https://my.zakupki.prom.ua/remote/dispatcher/state_purchase_view/33228256", "UA-2021-12-16-012159-c")</f>
        <v/>
      </c>
      <c r="C162" t="s" s="2">
        <v>3102</v>
      </c>
      <c r="D162" s="2">
        <f>HYPERLINK("https://my.zakupki.prom.ua/remote/dispatcher/state_contracting_view/11995073", "UA-2021-12-16-012159-c-c1")</f>
        <v/>
      </c>
      <c r="E162" t="s" s="1">
        <v>1321</v>
      </c>
      <c r="F162" t="s" s="1">
        <v>2807</v>
      </c>
      <c r="G162" t="s" s="1">
        <v>2171</v>
      </c>
      <c r="H162" t="s" s="1">
        <v>1026</v>
      </c>
      <c r="I162" t="s" s="1">
        <v>2178</v>
      </c>
      <c r="J162" t="s" s="1">
        <v>3307</v>
      </c>
      <c r="K162" t="s" s="1">
        <v>996</v>
      </c>
      <c r="L162" t="s" s="1">
        <v>3064</v>
      </c>
      <c r="M162" t="n" s="5">
        <v>9900.0</v>
      </c>
      <c r="N162" t="n" s="7">
        <v>44546.0</v>
      </c>
      <c r="O162" t="n" s="7">
        <v>44561.0</v>
      </c>
      <c r="P162" t="s" s="1">
        <v>3384</v>
      </c>
    </row>
    <row r="163" spans="1:16">
      <c r="A163" t="n" s="4">
        <v>159</v>
      </c>
      <c r="B163" s="2">
        <f>HYPERLINK("https://my.zakupki.prom.ua/remote/dispatcher/state_purchase_view/32653752", "UA-2021-12-06-016311-c")</f>
        <v/>
      </c>
      <c r="C163" t="s" s="2">
        <v>3102</v>
      </c>
      <c r="D163" s="2">
        <f>HYPERLINK("https://my.zakupki.prom.ua/remote/dispatcher/state_contracting_view/11720915", "UA-2021-12-06-016311-c-c1")</f>
        <v/>
      </c>
      <c r="E163" t="s" s="1">
        <v>1784</v>
      </c>
      <c r="F163" t="s" s="1">
        <v>2215</v>
      </c>
      <c r="G163" t="s" s="1">
        <v>3400</v>
      </c>
      <c r="H163" t="s" s="1">
        <v>657</v>
      </c>
      <c r="I163" t="s" s="1">
        <v>2178</v>
      </c>
      <c r="J163" t="s" s="1">
        <v>2148</v>
      </c>
      <c r="K163" t="s" s="1">
        <v>678</v>
      </c>
      <c r="L163" t="s" s="1">
        <v>1634</v>
      </c>
      <c r="M163" t="n" s="5">
        <v>889.0</v>
      </c>
      <c r="N163" t="n" s="7">
        <v>44536.0</v>
      </c>
      <c r="O163" t="n" s="7">
        <v>44561.0</v>
      </c>
      <c r="P163" t="s" s="1">
        <v>3384</v>
      </c>
    </row>
    <row r="164" spans="1:16">
      <c r="A164" t="n" s="4">
        <v>160</v>
      </c>
      <c r="B164" s="2">
        <f>HYPERLINK("https://my.zakupki.prom.ua/remote/dispatcher/state_purchase_view/26726459", "UA-2021-05-20-006219-b")</f>
        <v/>
      </c>
      <c r="C164" t="s" s="2">
        <v>3102</v>
      </c>
      <c r="D164" s="2">
        <f>HYPERLINK("https://my.zakupki.prom.ua/remote/dispatcher/state_contracting_view/8969025", "UA-2021-05-20-006219-b-b1")</f>
        <v/>
      </c>
      <c r="E164" t="s" s="1">
        <v>1989</v>
      </c>
      <c r="F164" t="s" s="1">
        <v>2708</v>
      </c>
      <c r="G164" t="s" s="1">
        <v>2708</v>
      </c>
      <c r="H164" t="s" s="1">
        <v>777</v>
      </c>
      <c r="I164" t="s" s="1">
        <v>2178</v>
      </c>
      <c r="J164" t="s" s="1">
        <v>3163</v>
      </c>
      <c r="K164" t="s" s="1">
        <v>684</v>
      </c>
      <c r="L164" t="s" s="1">
        <v>1241</v>
      </c>
      <c r="M164" t="n" s="5">
        <v>53100.0</v>
      </c>
      <c r="N164" t="n" s="7">
        <v>44336.0</v>
      </c>
      <c r="O164" t="n" s="7">
        <v>44561.0</v>
      </c>
      <c r="P164" t="s" s="1">
        <v>3384</v>
      </c>
    </row>
    <row r="165" spans="1:16">
      <c r="A165" t="n" s="4">
        <v>161</v>
      </c>
      <c r="B165" s="2">
        <f>HYPERLINK("https://my.zakupki.prom.ua/remote/dispatcher/state_purchase_view/30149772", "UA-2021-09-23-003003-b")</f>
        <v/>
      </c>
      <c r="C165" t="s" s="2">
        <v>3102</v>
      </c>
      <c r="D165" s="2">
        <f>HYPERLINK("https://my.zakupki.prom.ua/remote/dispatcher/state_contracting_view/10568959", "UA-2021-09-23-003003-b-b1")</f>
        <v/>
      </c>
      <c r="E165" t="s" s="1">
        <v>1953</v>
      </c>
      <c r="F165" t="s" s="1">
        <v>2786</v>
      </c>
      <c r="G165" t="s" s="1">
        <v>2786</v>
      </c>
      <c r="H165" t="s" s="1">
        <v>934</v>
      </c>
      <c r="I165" t="s" s="1">
        <v>2178</v>
      </c>
      <c r="J165" t="s" s="1">
        <v>3113</v>
      </c>
      <c r="K165" t="s" s="1">
        <v>816</v>
      </c>
      <c r="L165" t="s" s="1">
        <v>648</v>
      </c>
      <c r="M165" t="n" s="5">
        <v>527.0</v>
      </c>
      <c r="N165" t="n" s="7">
        <v>44462.0</v>
      </c>
      <c r="O165" t="n" s="7">
        <v>44561.0</v>
      </c>
      <c r="P165" t="s" s="1">
        <v>3384</v>
      </c>
    </row>
    <row r="166" spans="1:16">
      <c r="A166" t="n" s="4">
        <v>162</v>
      </c>
      <c r="B166" s="2">
        <f>HYPERLINK("https://my.zakupki.prom.ua/remote/dispatcher/state_purchase_view/30154162", "UA-2021-09-23-004271-b")</f>
        <v/>
      </c>
      <c r="C166" t="s" s="2">
        <v>3102</v>
      </c>
      <c r="D166" s="2">
        <f>HYPERLINK("https://my.zakupki.prom.ua/remote/dispatcher/state_contracting_view/10571117", "UA-2021-09-23-004271-b-b1")</f>
        <v/>
      </c>
      <c r="E166" t="s" s="1">
        <v>1761</v>
      </c>
      <c r="F166" t="s" s="1">
        <v>2395</v>
      </c>
      <c r="G166" t="s" s="1">
        <v>2394</v>
      </c>
      <c r="H166" t="s" s="1">
        <v>548</v>
      </c>
      <c r="I166" t="s" s="1">
        <v>2178</v>
      </c>
      <c r="J166" t="s" s="1">
        <v>3113</v>
      </c>
      <c r="K166" t="s" s="1">
        <v>816</v>
      </c>
      <c r="L166" t="s" s="1">
        <v>1705</v>
      </c>
      <c r="M166" t="n" s="5">
        <v>6789.6</v>
      </c>
      <c r="N166" t="n" s="7">
        <v>44462.0</v>
      </c>
      <c r="O166" t="n" s="7">
        <v>44561.0</v>
      </c>
      <c r="P166" t="s" s="1">
        <v>3384</v>
      </c>
    </row>
    <row r="167" spans="1:16">
      <c r="A167" t="n" s="4">
        <v>163</v>
      </c>
      <c r="B167" s="2">
        <f>HYPERLINK("https://my.zakupki.prom.ua/remote/dispatcher/state_purchase_view/29434890", "UA-2021-09-01-002280-a")</f>
        <v/>
      </c>
      <c r="C167" t="s" s="2">
        <v>3102</v>
      </c>
      <c r="D167" s="2">
        <f>HYPERLINK("https://my.zakupki.prom.ua/remote/dispatcher/state_contracting_view/10239337", "UA-2021-09-01-002280-a-a1")</f>
        <v/>
      </c>
      <c r="E167" t="s" s="1">
        <v>1880</v>
      </c>
      <c r="F167" t="s" s="1">
        <v>2465</v>
      </c>
      <c r="G167" t="s" s="1">
        <v>2465</v>
      </c>
      <c r="H167" t="s" s="1">
        <v>712</v>
      </c>
      <c r="I167" t="s" s="1">
        <v>2178</v>
      </c>
      <c r="J167" t="s" s="1">
        <v>3309</v>
      </c>
      <c r="K167" t="s" s="1">
        <v>611</v>
      </c>
      <c r="L167" t="s" s="1">
        <v>3198</v>
      </c>
      <c r="M167" t="n" s="5">
        <v>186.0</v>
      </c>
      <c r="N167" t="n" s="7">
        <v>44440.0</v>
      </c>
      <c r="O167" t="n" s="7">
        <v>44561.0</v>
      </c>
      <c r="P167" t="s" s="1">
        <v>3384</v>
      </c>
    </row>
    <row r="168" spans="1:16">
      <c r="A168" t="n" s="4">
        <v>164</v>
      </c>
      <c r="B168" s="2">
        <f>HYPERLINK("https://my.zakupki.prom.ua/remote/dispatcher/state_purchase_view/27811366", "UA-2021-06-29-002105-c")</f>
        <v/>
      </c>
      <c r="C168" t="s" s="2">
        <v>3102</v>
      </c>
      <c r="D168" s="2">
        <f>HYPERLINK("https://my.zakupki.prom.ua/remote/dispatcher/state_contracting_view/9641753", "UA-2021-06-29-002105-c-c1")</f>
        <v/>
      </c>
      <c r="E168" t="s" s="1">
        <v>2063</v>
      </c>
      <c r="F168" t="s" s="1">
        <v>2751</v>
      </c>
      <c r="G168" t="s" s="1">
        <v>3174</v>
      </c>
      <c r="H168" t="s" s="1">
        <v>911</v>
      </c>
      <c r="I168" t="s" s="1">
        <v>3142</v>
      </c>
      <c r="J168" t="s" s="1">
        <v>3288</v>
      </c>
      <c r="K168" t="s" s="1">
        <v>710</v>
      </c>
      <c r="L168" t="s" s="1">
        <v>1342</v>
      </c>
      <c r="M168" t="n" s="5">
        <v>239682.0</v>
      </c>
      <c r="N168" t="n" s="7">
        <v>44389.0</v>
      </c>
      <c r="O168" t="n" s="7">
        <v>44561.0</v>
      </c>
      <c r="P168" t="s" s="1">
        <v>3384</v>
      </c>
    </row>
    <row r="169" spans="1:16">
      <c r="A169" t="n" s="4">
        <v>165</v>
      </c>
      <c r="B169" s="2">
        <f>HYPERLINK("https://my.zakupki.prom.ua/remote/dispatcher/state_purchase_view/27770647", "UA-2021-06-25-001558-c")</f>
        <v/>
      </c>
      <c r="C169" t="s" s="2">
        <v>3102</v>
      </c>
      <c r="D169" s="2">
        <f>HYPERLINK("https://my.zakupki.prom.ua/remote/dispatcher/state_contracting_view/9466218", "UA-2021-06-25-001558-c-c1")</f>
        <v/>
      </c>
      <c r="E169" t="s" s="1">
        <v>30</v>
      </c>
      <c r="F169" t="s" s="1">
        <v>2847</v>
      </c>
      <c r="G169" t="s" s="1">
        <v>2847</v>
      </c>
      <c r="H169" t="s" s="1">
        <v>1072</v>
      </c>
      <c r="I169" t="s" s="1">
        <v>2178</v>
      </c>
      <c r="J169" t="s" s="1">
        <v>3112</v>
      </c>
      <c r="K169" t="s" s="1">
        <v>802</v>
      </c>
      <c r="L169" t="s" s="1">
        <v>35</v>
      </c>
      <c r="M169" t="n" s="5">
        <v>4812.0</v>
      </c>
      <c r="N169" t="n" s="7">
        <v>44372.0</v>
      </c>
      <c r="O169" t="n" s="7">
        <v>44561.0</v>
      </c>
      <c r="P169" t="s" s="1">
        <v>3384</v>
      </c>
    </row>
    <row r="170" spans="1:16">
      <c r="A170" t="n" s="4">
        <v>166</v>
      </c>
      <c r="B170" s="2">
        <f>HYPERLINK("https://my.zakupki.prom.ua/remote/dispatcher/state_purchase_view/27313725", "UA-2021-06-09-005148-b")</f>
        <v/>
      </c>
      <c r="C170" t="s" s="2">
        <v>3102</v>
      </c>
      <c r="D170" s="2">
        <f>HYPERLINK("https://my.zakupki.prom.ua/remote/dispatcher/state_contracting_view/9240393", "UA-2021-06-09-005148-b-b1")</f>
        <v/>
      </c>
      <c r="E170" t="s" s="1">
        <v>1212</v>
      </c>
      <c r="F170" t="s" s="1">
        <v>2458</v>
      </c>
      <c r="G170" t="s" s="1">
        <v>2458</v>
      </c>
      <c r="H170" t="s" s="1">
        <v>708</v>
      </c>
      <c r="I170" t="s" s="1">
        <v>2178</v>
      </c>
      <c r="J170" t="s" s="1">
        <v>3278</v>
      </c>
      <c r="K170" t="s" s="1">
        <v>734</v>
      </c>
      <c r="L170" t="s" s="1">
        <v>861</v>
      </c>
      <c r="M170" t="n" s="5">
        <v>1790.28</v>
      </c>
      <c r="N170" t="n" s="7">
        <v>44356.0</v>
      </c>
      <c r="O170" t="n" s="7">
        <v>44561.0</v>
      </c>
      <c r="P170" t="s" s="1">
        <v>3384</v>
      </c>
    </row>
    <row r="171" spans="1:16">
      <c r="A171" t="n" s="4">
        <v>167</v>
      </c>
      <c r="B171" s="2">
        <f>HYPERLINK("https://my.zakupki.prom.ua/remote/dispatcher/state_purchase_view/27299545", "UA-2021-06-09-001182-b")</f>
        <v/>
      </c>
      <c r="C171" t="s" s="2">
        <v>3102</v>
      </c>
      <c r="D171" s="2">
        <f>HYPERLINK("https://my.zakupki.prom.ua/remote/dispatcher/state_contracting_view/9233658", "UA-2021-06-09-001182-b-b1")</f>
        <v/>
      </c>
      <c r="E171" t="s" s="1">
        <v>1142</v>
      </c>
      <c r="F171" t="s" s="1">
        <v>2484</v>
      </c>
      <c r="G171" t="s" s="1">
        <v>2484</v>
      </c>
      <c r="H171" t="s" s="1">
        <v>758</v>
      </c>
      <c r="I171" t="s" s="1">
        <v>2178</v>
      </c>
      <c r="J171" t="s" s="1">
        <v>3126</v>
      </c>
      <c r="K171" t="s" s="1">
        <v>564</v>
      </c>
      <c r="L171" t="s" s="1">
        <v>1270</v>
      </c>
      <c r="M171" t="n" s="5">
        <v>97660.0</v>
      </c>
      <c r="N171" t="n" s="7">
        <v>44356.0</v>
      </c>
      <c r="O171" t="n" s="7">
        <v>44561.0</v>
      </c>
      <c r="P171" t="s" s="1">
        <v>3384</v>
      </c>
    </row>
    <row r="172" spans="1:16">
      <c r="A172" t="n" s="4">
        <v>168</v>
      </c>
      <c r="B172" s="2">
        <f>HYPERLINK("https://my.zakupki.prom.ua/remote/dispatcher/state_purchase_view/26546356", "UA-2021-05-14-006957-c")</f>
        <v/>
      </c>
      <c r="C172" t="s" s="2">
        <v>3102</v>
      </c>
      <c r="D172" s="2">
        <f>HYPERLINK("https://my.zakupki.prom.ua/remote/dispatcher/state_contracting_view/9151186", "UA-2021-05-14-006957-c-b1")</f>
        <v/>
      </c>
      <c r="E172" t="s" s="1">
        <v>1760</v>
      </c>
      <c r="F172" t="s" s="1">
        <v>2283</v>
      </c>
      <c r="G172" t="s" s="1">
        <v>3373</v>
      </c>
      <c r="H172" t="s" s="1">
        <v>264</v>
      </c>
      <c r="I172" t="s" s="1">
        <v>3171</v>
      </c>
      <c r="J172" t="s" s="1">
        <v>3338</v>
      </c>
      <c r="K172" t="s" s="1">
        <v>797</v>
      </c>
      <c r="L172" t="s" s="1">
        <v>1258</v>
      </c>
      <c r="M172" t="n" s="5">
        <v>120684.0</v>
      </c>
      <c r="N172" t="n" s="7">
        <v>44350.0</v>
      </c>
      <c r="O172" t="n" s="7">
        <v>44561.0</v>
      </c>
      <c r="P172" t="s" s="1">
        <v>3384</v>
      </c>
    </row>
    <row r="173" spans="1:16">
      <c r="A173" t="n" s="4">
        <v>169</v>
      </c>
      <c r="B173" s="2">
        <f>HYPERLINK("https://my.zakupki.prom.ua/remote/dispatcher/state_purchase_view/25484361", "UA-2021-04-02-002854-b")</f>
        <v/>
      </c>
      <c r="C173" t="s" s="2">
        <v>3102</v>
      </c>
      <c r="D173" s="2">
        <f>HYPERLINK("https://my.zakupki.prom.ua/remote/dispatcher/state_contracting_view/8370861", "UA-2021-04-02-002854-b-b1")</f>
        <v/>
      </c>
      <c r="E173" t="s" s="1">
        <v>1583</v>
      </c>
      <c r="F173" t="s" s="1">
        <v>2312</v>
      </c>
      <c r="G173" t="s" s="1">
        <v>2312</v>
      </c>
      <c r="H173" t="s" s="1">
        <v>279</v>
      </c>
      <c r="I173" t="s" s="1">
        <v>2178</v>
      </c>
      <c r="J173" t="s" s="1">
        <v>3356</v>
      </c>
      <c r="K173" t="s" s="1">
        <v>814</v>
      </c>
      <c r="L173" t="s" s="1">
        <v>713</v>
      </c>
      <c r="M173" t="n" s="5">
        <v>790.0</v>
      </c>
      <c r="N173" t="n" s="7">
        <v>44288.0</v>
      </c>
      <c r="O173" t="n" s="7">
        <v>44561.0</v>
      </c>
      <c r="P173" t="s" s="1">
        <v>3384</v>
      </c>
    </row>
    <row r="174" spans="1:16">
      <c r="A174" t="n" s="4">
        <v>170</v>
      </c>
      <c r="B174" s="2">
        <f>HYPERLINK("https://my.zakupki.prom.ua/remote/dispatcher/state_purchase_view/25486497", "UA-2021-04-02-003477-b")</f>
        <v/>
      </c>
      <c r="C174" t="s" s="2">
        <v>3102</v>
      </c>
      <c r="D174" s="2">
        <f>HYPERLINK("https://my.zakupki.prom.ua/remote/dispatcher/state_contracting_view/8371785", "UA-2021-04-02-003477-b-b1")</f>
        <v/>
      </c>
      <c r="E174" t="s" s="1">
        <v>1994</v>
      </c>
      <c r="F174" t="s" s="1">
        <v>2435</v>
      </c>
      <c r="G174" t="s" s="1">
        <v>2435</v>
      </c>
      <c r="H174" t="s" s="1">
        <v>701</v>
      </c>
      <c r="I174" t="s" s="1">
        <v>2178</v>
      </c>
      <c r="J174" t="s" s="1">
        <v>3356</v>
      </c>
      <c r="K174" t="s" s="1">
        <v>814</v>
      </c>
      <c r="L174" t="s" s="1">
        <v>722</v>
      </c>
      <c r="M174" t="n" s="5">
        <v>3600.0</v>
      </c>
      <c r="N174" t="n" s="7">
        <v>44288.0</v>
      </c>
      <c r="O174" t="n" s="7">
        <v>44561.0</v>
      </c>
      <c r="P174" t="s" s="1">
        <v>3384</v>
      </c>
    </row>
    <row r="175" spans="1:16">
      <c r="A175" t="n" s="4">
        <v>171</v>
      </c>
      <c r="B175" s="2">
        <f>HYPERLINK("https://my.zakupki.prom.ua/remote/dispatcher/state_purchase_view/28572919", "UA-2021-07-28-004270-b")</f>
        <v/>
      </c>
      <c r="C175" t="s" s="2">
        <v>3102</v>
      </c>
      <c r="D175" s="2">
        <f>HYPERLINK("https://my.zakupki.prom.ua/remote/dispatcher/state_contracting_view/9837156", "UA-2021-07-28-004270-b-b1")</f>
        <v/>
      </c>
      <c r="E175" t="s" s="1">
        <v>2102</v>
      </c>
      <c r="F175" t="s" s="1">
        <v>2518</v>
      </c>
      <c r="G175" t="s" s="1">
        <v>3459</v>
      </c>
      <c r="H175" t="s" s="1">
        <v>759</v>
      </c>
      <c r="I175" t="s" s="1">
        <v>2178</v>
      </c>
      <c r="J175" t="s" s="1">
        <v>3136</v>
      </c>
      <c r="K175" t="s" s="1">
        <v>658</v>
      </c>
      <c r="L175" t="s" s="1">
        <v>1365</v>
      </c>
      <c r="M175" t="n" s="5">
        <v>685.25</v>
      </c>
      <c r="N175" t="n" s="7">
        <v>44404.0</v>
      </c>
      <c r="O175" t="n" s="7">
        <v>44561.0</v>
      </c>
      <c r="P175" t="s" s="1">
        <v>3384</v>
      </c>
    </row>
    <row r="176" spans="1:16">
      <c r="A176" t="n" s="4">
        <v>172</v>
      </c>
      <c r="B176" s="2">
        <f>HYPERLINK("https://my.zakupki.prom.ua/remote/dispatcher/state_purchase_view/28458578", "UA-2021-07-23-000546-b")</f>
        <v/>
      </c>
      <c r="C176" t="s" s="2">
        <v>3102</v>
      </c>
      <c r="D176" s="2">
        <f>HYPERLINK("https://my.zakupki.prom.ua/remote/dispatcher/state_contracting_view/9782827", "UA-2021-07-23-000546-b-b1")</f>
        <v/>
      </c>
      <c r="E176" t="s" s="1">
        <v>385</v>
      </c>
      <c r="F176" t="s" s="1">
        <v>2552</v>
      </c>
      <c r="G176" t="s" s="1">
        <v>2552</v>
      </c>
      <c r="H176" t="s" s="1">
        <v>763</v>
      </c>
      <c r="I176" t="s" s="1">
        <v>2178</v>
      </c>
      <c r="J176" t="s" s="1">
        <v>2143</v>
      </c>
      <c r="K176" t="s" s="1">
        <v>787</v>
      </c>
      <c r="L176" t="s" s="1">
        <v>427</v>
      </c>
      <c r="M176" t="n" s="5">
        <v>9912.5</v>
      </c>
      <c r="N176" t="n" s="7">
        <v>44400.0</v>
      </c>
      <c r="O176" t="n" s="7">
        <v>44561.0</v>
      </c>
      <c r="P176" t="s" s="1">
        <v>3384</v>
      </c>
    </row>
    <row r="177" spans="1:16">
      <c r="A177" t="n" s="4">
        <v>173</v>
      </c>
      <c r="B177" s="2">
        <f>HYPERLINK("https://my.zakupki.prom.ua/remote/dispatcher/state_purchase_view/30287828", "UA-2021-09-28-001887-b")</f>
        <v/>
      </c>
      <c r="C177" t="s" s="2">
        <v>3102</v>
      </c>
      <c r="D177" s="2">
        <f>HYPERLINK("https://my.zakupki.prom.ua/remote/dispatcher/state_contracting_view/10633066", "UA-2021-09-28-001887-b-b1")</f>
        <v/>
      </c>
      <c r="E177" t="s" s="1">
        <v>1752</v>
      </c>
      <c r="F177" t="s" s="1">
        <v>2404</v>
      </c>
      <c r="G177" t="s" s="1">
        <v>2404</v>
      </c>
      <c r="H177" t="s" s="1">
        <v>551</v>
      </c>
      <c r="I177" t="s" s="1">
        <v>2178</v>
      </c>
      <c r="J177" t="s" s="1">
        <v>2141</v>
      </c>
      <c r="K177" t="s" s="1">
        <v>438</v>
      </c>
      <c r="L177" t="s" s="1">
        <v>1478</v>
      </c>
      <c r="M177" t="n" s="5">
        <v>75.0</v>
      </c>
      <c r="N177" t="n" s="7">
        <v>44467.0</v>
      </c>
      <c r="O177" t="n" s="7">
        <v>44561.0</v>
      </c>
      <c r="P177" t="s" s="1">
        <v>3384</v>
      </c>
    </row>
    <row r="178" spans="1:16">
      <c r="A178" t="n" s="4">
        <v>174</v>
      </c>
      <c r="B178" s="2">
        <f>HYPERLINK("https://my.zakupki.prom.ua/remote/dispatcher/state_purchase_view/25873786", "UA-2021-04-15-003581-a")</f>
        <v/>
      </c>
      <c r="C178" t="s" s="2">
        <v>3102</v>
      </c>
      <c r="D178" s="2">
        <f>HYPERLINK("https://my.zakupki.prom.ua/remote/dispatcher/state_contracting_view/8786616", "UA-2021-04-15-003581-a-c1")</f>
        <v/>
      </c>
      <c r="E178" t="s" s="1">
        <v>1818</v>
      </c>
      <c r="F178" t="s" s="1">
        <v>2269</v>
      </c>
      <c r="G178" t="s" s="1">
        <v>2269</v>
      </c>
      <c r="H178" t="s" s="1">
        <v>259</v>
      </c>
      <c r="I178" t="s" s="1">
        <v>3171</v>
      </c>
      <c r="J178" t="s" s="1">
        <v>3332</v>
      </c>
      <c r="K178" t="s" s="1">
        <v>598</v>
      </c>
      <c r="L178" t="s" s="1">
        <v>1135</v>
      </c>
      <c r="M178" t="n" s="5">
        <v>89400.0</v>
      </c>
      <c r="N178" t="n" s="7">
        <v>44322.0</v>
      </c>
      <c r="O178" t="n" s="7">
        <v>44561.0</v>
      </c>
      <c r="P178" t="s" s="1">
        <v>3384</v>
      </c>
    </row>
    <row r="179" spans="1:16">
      <c r="A179" t="n" s="4">
        <v>175</v>
      </c>
      <c r="B179" s="2">
        <f>HYPERLINK("https://my.zakupki.prom.ua/remote/dispatcher/state_purchase_view/29433244", "UA-2021-09-01-001805-a")</f>
        <v/>
      </c>
      <c r="C179" t="s" s="2">
        <v>3102</v>
      </c>
      <c r="D179" s="2">
        <f>HYPERLINK("https://my.zakupki.prom.ua/remote/dispatcher/state_contracting_view/10238349", "UA-2021-09-01-001805-a-a1")</f>
        <v/>
      </c>
      <c r="E179" t="s" s="1">
        <v>1959</v>
      </c>
      <c r="F179" t="s" s="1">
        <v>2860</v>
      </c>
      <c r="G179" t="s" s="1">
        <v>2860</v>
      </c>
      <c r="H179" t="s" s="1">
        <v>1076</v>
      </c>
      <c r="I179" t="s" s="1">
        <v>2178</v>
      </c>
      <c r="J179" t="s" s="1">
        <v>3309</v>
      </c>
      <c r="K179" t="s" s="1">
        <v>611</v>
      </c>
      <c r="L179" t="s" s="1">
        <v>3177</v>
      </c>
      <c r="M179" t="n" s="5">
        <v>1016.0</v>
      </c>
      <c r="N179" t="n" s="7">
        <v>44440.0</v>
      </c>
      <c r="O179" t="n" s="7">
        <v>44561.0</v>
      </c>
      <c r="P179" t="s" s="1">
        <v>3384</v>
      </c>
    </row>
    <row r="180" spans="1:16">
      <c r="A180" t="n" s="4">
        <v>176</v>
      </c>
      <c r="B180" s="2">
        <f>HYPERLINK("https://my.zakupki.prom.ua/remote/dispatcher/state_purchase_view/25587209", "UA-2021-04-07-000344-a")</f>
        <v/>
      </c>
      <c r="C180" t="s" s="2">
        <v>3102</v>
      </c>
      <c r="D180" s="2">
        <f>HYPERLINK("https://my.zakupki.prom.ua/remote/dispatcher/state_contracting_view/8416905", "UA-2021-04-07-000344-a-a1")</f>
        <v/>
      </c>
      <c r="E180" t="s" s="1">
        <v>613</v>
      </c>
      <c r="F180" t="s" s="1">
        <v>3034</v>
      </c>
      <c r="G180" t="s" s="1">
        <v>3034</v>
      </c>
      <c r="H180" t="s" s="1">
        <v>1758</v>
      </c>
      <c r="I180" t="s" s="1">
        <v>2178</v>
      </c>
      <c r="J180" t="s" s="1">
        <v>3271</v>
      </c>
      <c r="K180" t="s" s="1">
        <v>694</v>
      </c>
      <c r="L180" t="s" s="1">
        <v>404</v>
      </c>
      <c r="M180" t="n" s="5">
        <v>4000.0</v>
      </c>
      <c r="N180" t="n" s="7">
        <v>44293.0</v>
      </c>
      <c r="O180" t="n" s="7">
        <v>44561.0</v>
      </c>
      <c r="P180" t="s" s="1">
        <v>3384</v>
      </c>
    </row>
    <row r="181" spans="1:16">
      <c r="A181" t="n" s="4">
        <v>177</v>
      </c>
      <c r="B181" s="2">
        <f>HYPERLINK("https://my.zakupki.prom.ua/remote/dispatcher/state_purchase_view/28021875", "UA-2021-07-07-000894-c")</f>
        <v/>
      </c>
      <c r="C181" t="s" s="2">
        <v>3102</v>
      </c>
      <c r="D181" s="2">
        <f>HYPERLINK("https://my.zakupki.prom.ua/remote/dispatcher/state_contracting_view/9577502", "UA-2021-07-07-000894-c-c1")</f>
        <v/>
      </c>
      <c r="E181" t="s" s="1">
        <v>1743</v>
      </c>
      <c r="F181" t="s" s="1">
        <v>2347</v>
      </c>
      <c r="G181" t="s" s="1">
        <v>2347</v>
      </c>
      <c r="H181" t="s" s="1">
        <v>479</v>
      </c>
      <c r="I181" t="s" s="1">
        <v>2178</v>
      </c>
      <c r="J181" t="s" s="1">
        <v>3224</v>
      </c>
      <c r="K181" t="s" s="1">
        <v>771</v>
      </c>
      <c r="L181" t="s" s="1">
        <v>993</v>
      </c>
      <c r="M181" t="n" s="5">
        <v>2646.0</v>
      </c>
      <c r="N181" t="n" s="7">
        <v>44384.0</v>
      </c>
      <c r="O181" t="n" s="7">
        <v>44561.0</v>
      </c>
      <c r="P181" t="s" s="1">
        <v>3384</v>
      </c>
    </row>
    <row r="182" spans="1:16">
      <c r="A182" t="n" s="4">
        <v>178</v>
      </c>
      <c r="B182" s="2">
        <f>HYPERLINK("https://my.zakupki.prom.ua/remote/dispatcher/state_purchase_view/32149054", "UA-2021-11-24-002921-a")</f>
        <v/>
      </c>
      <c r="C182" t="s" s="2">
        <v>3102</v>
      </c>
      <c r="D182" s="2">
        <f>HYPERLINK("https://my.zakupki.prom.ua/remote/dispatcher/state_contracting_view/12086595", "UA-2021-11-24-002921-a-c1")</f>
        <v/>
      </c>
      <c r="E182" t="s" s="1">
        <v>72</v>
      </c>
      <c r="F182" t="s" s="1">
        <v>2553</v>
      </c>
      <c r="G182" t="s" s="1">
        <v>3049</v>
      </c>
      <c r="H182" t="s" s="1">
        <v>763</v>
      </c>
      <c r="I182" t="s" s="1">
        <v>3171</v>
      </c>
      <c r="J182" t="s" s="1">
        <v>3292</v>
      </c>
      <c r="K182" t="s" s="1">
        <v>1050</v>
      </c>
      <c r="L182" t="s" s="1">
        <v>1658</v>
      </c>
      <c r="M182" t="n" s="5">
        <v>660000.0</v>
      </c>
      <c r="N182" t="n" s="7">
        <v>44550.0</v>
      </c>
      <c r="O182" t="n" s="7">
        <v>44561.0</v>
      </c>
      <c r="P182" t="s" s="1">
        <v>3384</v>
      </c>
    </row>
    <row r="183" spans="1:16">
      <c r="A183" t="n" s="4">
        <v>179</v>
      </c>
      <c r="B183" s="2">
        <f>HYPERLINK("https://my.zakupki.prom.ua/remote/dispatcher/state_purchase_view/26415279", "UA-2021-05-11-004527-a")</f>
        <v/>
      </c>
      <c r="C183" t="s" s="2">
        <v>3102</v>
      </c>
      <c r="D183" s="2">
        <f>HYPERLINK("https://my.zakupki.prom.ua/remote/dispatcher/state_contracting_view/8814148", "UA-2021-05-11-004527-a-a1")</f>
        <v/>
      </c>
      <c r="E183" t="s" s="1">
        <v>1933</v>
      </c>
      <c r="F183" t="s" s="1">
        <v>2373</v>
      </c>
      <c r="G183" t="s" s="1">
        <v>3491</v>
      </c>
      <c r="H183" t="s" s="1">
        <v>533</v>
      </c>
      <c r="I183" t="s" s="1">
        <v>2178</v>
      </c>
      <c r="J183" t="s" s="1">
        <v>3131</v>
      </c>
      <c r="K183" t="s" s="1">
        <v>658</v>
      </c>
      <c r="L183" t="s" s="1">
        <v>603</v>
      </c>
      <c r="M183" t="n" s="5">
        <v>2927.4</v>
      </c>
      <c r="N183" t="n" s="7">
        <v>44327.0</v>
      </c>
      <c r="O183" t="n" s="7">
        <v>44561.0</v>
      </c>
      <c r="P183" t="s" s="1">
        <v>3384</v>
      </c>
    </row>
    <row r="184" spans="1:16">
      <c r="A184" t="n" s="4">
        <v>180</v>
      </c>
      <c r="B184" s="2">
        <f>HYPERLINK("https://my.zakupki.prom.ua/remote/dispatcher/state_purchase_view/26335918", "UA-2021-05-06-002175-c")</f>
        <v/>
      </c>
      <c r="C184" t="s" s="2">
        <v>3102</v>
      </c>
      <c r="D184" s="2">
        <f>HYPERLINK("https://my.zakupki.prom.ua/remote/dispatcher/state_contracting_view/8777889", "UA-2021-05-06-002175-c-c1")</f>
        <v/>
      </c>
      <c r="E184" t="s" s="1">
        <v>1470</v>
      </c>
      <c r="F184" t="s" s="1">
        <v>2423</v>
      </c>
      <c r="G184" t="s" s="1">
        <v>2423</v>
      </c>
      <c r="H184" t="s" s="1">
        <v>693</v>
      </c>
      <c r="I184" t="s" s="1">
        <v>2178</v>
      </c>
      <c r="J184" t="s" s="1">
        <v>2141</v>
      </c>
      <c r="K184" t="s" s="1">
        <v>438</v>
      </c>
      <c r="L184" t="s" s="1">
        <v>1128</v>
      </c>
      <c r="M184" t="n" s="5">
        <v>122.0</v>
      </c>
      <c r="N184" t="n" s="7">
        <v>44322.0</v>
      </c>
      <c r="O184" t="n" s="7">
        <v>44561.0</v>
      </c>
      <c r="P184" t="s" s="1">
        <v>3384</v>
      </c>
    </row>
    <row r="185" spans="1:16">
      <c r="A185" t="n" s="4">
        <v>181</v>
      </c>
      <c r="B185" s="2">
        <f>HYPERLINK("https://my.zakupki.prom.ua/remote/dispatcher/state_purchase_view/26603438", "UA-2021-05-17-012621-b")</f>
        <v/>
      </c>
      <c r="C185" t="s" s="2">
        <v>3102</v>
      </c>
      <c r="D185" s="2">
        <f>HYPERLINK("https://my.zakupki.prom.ua/remote/dispatcher/state_contracting_view/8903063", "UA-2021-05-17-012621-b-b1")</f>
        <v/>
      </c>
      <c r="E185" t="s" s="1">
        <v>1293</v>
      </c>
      <c r="F185" t="s" s="1">
        <v>2523</v>
      </c>
      <c r="G185" t="s" s="1">
        <v>3475</v>
      </c>
      <c r="H185" t="s" s="1">
        <v>759</v>
      </c>
      <c r="I185" t="s" s="1">
        <v>2178</v>
      </c>
      <c r="J185" t="s" s="1">
        <v>3258</v>
      </c>
      <c r="K185" t="s" s="1">
        <v>776</v>
      </c>
      <c r="L185" t="s" s="1">
        <v>349</v>
      </c>
      <c r="M185" t="n" s="5">
        <v>43000.0</v>
      </c>
      <c r="N185" t="n" s="7">
        <v>44333.0</v>
      </c>
      <c r="O185" t="n" s="7">
        <v>44561.0</v>
      </c>
      <c r="P185" t="s" s="1">
        <v>3384</v>
      </c>
    </row>
    <row r="186" spans="1:16">
      <c r="A186" t="n" s="4">
        <v>182</v>
      </c>
      <c r="B186" s="2">
        <f>HYPERLINK("https://my.zakupki.prom.ua/remote/dispatcher/state_purchase_view/25603824", "UA-2021-04-07-005839-a")</f>
        <v/>
      </c>
      <c r="C186" t="s" s="2">
        <v>3102</v>
      </c>
      <c r="D186" s="2">
        <f>HYPERLINK("https://my.zakupki.prom.ua/remote/dispatcher/state_contracting_view/8425409", "UA-2021-04-07-005839-a-a1")</f>
        <v/>
      </c>
      <c r="E186" t="s" s="1">
        <v>1696</v>
      </c>
      <c r="F186" t="s" s="1">
        <v>2241</v>
      </c>
      <c r="G186" t="s" s="1">
        <v>2241</v>
      </c>
      <c r="H186" t="s" s="1">
        <v>218</v>
      </c>
      <c r="I186" t="s" s="1">
        <v>2178</v>
      </c>
      <c r="J186" t="s" s="1">
        <v>3342</v>
      </c>
      <c r="K186" t="s" s="1">
        <v>530</v>
      </c>
      <c r="L186" t="s" s="1">
        <v>850</v>
      </c>
      <c r="M186" t="n" s="5">
        <v>138.0</v>
      </c>
      <c r="N186" t="n" s="7">
        <v>44293.0</v>
      </c>
      <c r="O186" t="n" s="7">
        <v>44561.0</v>
      </c>
      <c r="P186" t="s" s="1">
        <v>3384</v>
      </c>
    </row>
    <row r="187" spans="1:16">
      <c r="A187" t="n" s="4">
        <v>183</v>
      </c>
      <c r="B187" s="2">
        <f>HYPERLINK("https://my.zakupki.prom.ua/remote/dispatcher/state_purchase_view/25590619", "UA-2021-04-07-001551-a")</f>
        <v/>
      </c>
      <c r="C187" t="s" s="2">
        <v>3102</v>
      </c>
      <c r="D187" s="2">
        <f>HYPERLINK("https://my.zakupki.prom.ua/remote/dispatcher/state_contracting_view/8419944", "UA-2021-04-07-001551-a-a1")</f>
        <v/>
      </c>
      <c r="E187" t="s" s="1">
        <v>1902</v>
      </c>
      <c r="F187" t="s" s="1">
        <v>2301</v>
      </c>
      <c r="G187" t="s" s="1">
        <v>2301</v>
      </c>
      <c r="H187" t="s" s="1">
        <v>276</v>
      </c>
      <c r="I187" t="s" s="1">
        <v>2178</v>
      </c>
      <c r="J187" t="s" s="1">
        <v>3356</v>
      </c>
      <c r="K187" t="s" s="1">
        <v>814</v>
      </c>
      <c r="L187" t="s" s="1">
        <v>848</v>
      </c>
      <c r="M187" t="n" s="5">
        <v>5200.0</v>
      </c>
      <c r="N187" t="n" s="7">
        <v>44292.0</v>
      </c>
      <c r="O187" t="n" s="7">
        <v>44561.0</v>
      </c>
      <c r="P187" t="s" s="1">
        <v>3384</v>
      </c>
    </row>
    <row r="188" spans="1:16">
      <c r="A188" t="n" s="4">
        <v>184</v>
      </c>
      <c r="B188" s="2">
        <f>HYPERLINK("https://my.zakupki.prom.ua/remote/dispatcher/state_purchase_view/25532391", "UA-2021-04-05-004976-c")</f>
        <v/>
      </c>
      <c r="C188" t="s" s="2">
        <v>3102</v>
      </c>
      <c r="D188" s="2">
        <f>HYPERLINK("https://my.zakupki.prom.ua/remote/dispatcher/state_contracting_view/8390779", "UA-2021-04-05-004976-c-c1")</f>
        <v/>
      </c>
      <c r="E188" t="s" s="1">
        <v>1724</v>
      </c>
      <c r="F188" t="s" s="1">
        <v>2504</v>
      </c>
      <c r="G188" t="s" s="1">
        <v>2504</v>
      </c>
      <c r="H188" t="s" s="1">
        <v>759</v>
      </c>
      <c r="I188" t="s" s="1">
        <v>2178</v>
      </c>
      <c r="J188" t="s" s="1">
        <v>3258</v>
      </c>
      <c r="K188" t="s" s="1">
        <v>776</v>
      </c>
      <c r="L188" t="s" s="1">
        <v>180</v>
      </c>
      <c r="M188" t="n" s="5">
        <v>88000.0</v>
      </c>
      <c r="N188" t="n" s="7">
        <v>44291.0</v>
      </c>
      <c r="O188" t="n" s="7">
        <v>44561.0</v>
      </c>
      <c r="P188" t="s" s="1">
        <v>3384</v>
      </c>
    </row>
    <row r="189" spans="1:16">
      <c r="A189" t="n" s="4">
        <v>185</v>
      </c>
      <c r="B189" s="2">
        <f>HYPERLINK("https://my.zakupki.prom.ua/remote/dispatcher/state_purchase_view/25526328", "UA-2021-04-05-004428-a")</f>
        <v/>
      </c>
      <c r="C189" t="s" s="2">
        <v>3102</v>
      </c>
      <c r="D189" s="2">
        <f>HYPERLINK("https://my.zakupki.prom.ua/remote/dispatcher/state_contracting_view/8387593", "UA-2021-04-05-004428-a-a1")</f>
        <v/>
      </c>
      <c r="E189" t="s" s="1">
        <v>1969</v>
      </c>
      <c r="F189" t="s" s="1">
        <v>2840</v>
      </c>
      <c r="G189" t="s" s="1">
        <v>2840</v>
      </c>
      <c r="H189" t="s" s="1">
        <v>1069</v>
      </c>
      <c r="I189" t="s" s="1">
        <v>2178</v>
      </c>
      <c r="J189" t="s" s="1">
        <v>2141</v>
      </c>
      <c r="K189" t="s" s="1">
        <v>438</v>
      </c>
      <c r="L189" t="s" s="1">
        <v>773</v>
      </c>
      <c r="M189" t="n" s="5">
        <v>305.0</v>
      </c>
      <c r="N189" t="n" s="7">
        <v>44291.0</v>
      </c>
      <c r="O189" t="n" s="7">
        <v>44561.0</v>
      </c>
      <c r="P189" t="s" s="1">
        <v>3384</v>
      </c>
    </row>
    <row r="190" spans="1:16">
      <c r="A190" t="n" s="4">
        <v>186</v>
      </c>
      <c r="B190" s="2">
        <f>HYPERLINK("https://my.zakupki.prom.ua/remote/dispatcher/state_purchase_view/31748146", "UA-2021-11-12-014669-a")</f>
        <v/>
      </c>
      <c r="C190" t="s" s="2">
        <v>3102</v>
      </c>
      <c r="D190" s="2">
        <f>HYPERLINK("https://my.zakupki.prom.ua/remote/dispatcher/state_contracting_view/11882730", "UA-2021-11-12-014669-a-c1")</f>
        <v/>
      </c>
      <c r="E190" t="s" s="1">
        <v>56</v>
      </c>
      <c r="F190" t="s" s="1">
        <v>2207</v>
      </c>
      <c r="G190" t="s" s="1">
        <v>3311</v>
      </c>
      <c r="H190" t="s" s="1">
        <v>758</v>
      </c>
      <c r="I190" t="s" s="1">
        <v>2142</v>
      </c>
      <c r="J190" t="s" s="1">
        <v>3316</v>
      </c>
      <c r="K190" t="s" s="1">
        <v>1030</v>
      </c>
      <c r="L190" t="s" s="1">
        <v>1646</v>
      </c>
      <c r="M190" t="n" s="5">
        <v>20521.55</v>
      </c>
      <c r="N190" t="n" s="7">
        <v>44543.0</v>
      </c>
      <c r="O190" t="n" s="7">
        <v>44561.0</v>
      </c>
      <c r="P190" t="s" s="1">
        <v>3384</v>
      </c>
    </row>
    <row r="191" spans="1:16">
      <c r="A191" t="n" s="4">
        <v>187</v>
      </c>
      <c r="B191" s="2">
        <f>HYPERLINK("https://my.zakupki.prom.ua/remote/dispatcher/state_purchase_view/23997389", "UA-2021-02-15-001219-c")</f>
        <v/>
      </c>
      <c r="C191" t="s" s="2">
        <v>3102</v>
      </c>
      <c r="D191" s="2">
        <f>HYPERLINK("https://my.zakupki.prom.ua/remote/dispatcher/state_contracting_view/7665128", "UA-2021-02-15-001219-c-c1")</f>
        <v/>
      </c>
      <c r="E191" t="s" s="1">
        <v>1204</v>
      </c>
      <c r="F191" t="s" s="1">
        <v>2287</v>
      </c>
      <c r="G191" t="s" s="1">
        <v>2287</v>
      </c>
      <c r="H191" t="s" s="1">
        <v>266</v>
      </c>
      <c r="I191" t="s" s="1">
        <v>2178</v>
      </c>
      <c r="J191" t="s" s="1">
        <v>3356</v>
      </c>
      <c r="K191" t="s" s="1">
        <v>814</v>
      </c>
      <c r="L191" t="s" s="1">
        <v>1762</v>
      </c>
      <c r="M191" t="n" s="5">
        <v>14901.5</v>
      </c>
      <c r="N191" t="n" s="7">
        <v>44237.0</v>
      </c>
      <c r="O191" t="n" s="7">
        <v>44561.0</v>
      </c>
      <c r="P191" t="s" s="1">
        <v>3384</v>
      </c>
    </row>
    <row r="192" spans="1:16">
      <c r="A192" t="n" s="4">
        <v>188</v>
      </c>
      <c r="B192" s="2">
        <f>HYPERLINK("https://my.zakupki.prom.ua/remote/dispatcher/state_purchase_view/26359031", "UA-2021-05-06-008754-c")</f>
        <v/>
      </c>
      <c r="C192" t="s" s="2">
        <v>3102</v>
      </c>
      <c r="D192" s="2">
        <f>HYPERLINK("https://my.zakupki.prom.ua/remote/dispatcher/state_contracting_view/8786781", "UA-2021-05-06-008754-c-c1")</f>
        <v/>
      </c>
      <c r="E192" t="s" s="1">
        <v>1133</v>
      </c>
      <c r="F192" t="s" s="1">
        <v>2918</v>
      </c>
      <c r="G192" t="s" s="1">
        <v>2918</v>
      </c>
      <c r="H192" t="s" s="1">
        <v>1173</v>
      </c>
      <c r="I192" t="s" s="1">
        <v>2178</v>
      </c>
      <c r="J192" t="s" s="1">
        <v>3089</v>
      </c>
      <c r="K192" t="s" s="1">
        <v>654</v>
      </c>
      <c r="L192" t="s" s="1">
        <v>1167</v>
      </c>
      <c r="M192" t="n" s="5">
        <v>780.0</v>
      </c>
      <c r="N192" t="n" s="7">
        <v>44322.0</v>
      </c>
      <c r="O192" t="n" s="7">
        <v>44561.0</v>
      </c>
      <c r="P192" t="s" s="1">
        <v>3384</v>
      </c>
    </row>
    <row r="193" spans="1:16">
      <c r="A193" t="n" s="4">
        <v>189</v>
      </c>
      <c r="B193" s="2">
        <f>HYPERLINK("https://my.zakupki.prom.ua/remote/dispatcher/state_purchase_view/26052366", "UA-2021-04-22-002297-a")</f>
        <v/>
      </c>
      <c r="C193" t="s" s="2">
        <v>3102</v>
      </c>
      <c r="D193" s="2">
        <f>HYPERLINK("https://my.zakupki.prom.ua/remote/dispatcher/state_contracting_view/8638488", "UA-2021-04-22-002297-a-a1")</f>
        <v/>
      </c>
      <c r="E193" t="s" s="1">
        <v>1684</v>
      </c>
      <c r="F193" t="s" s="1">
        <v>2953</v>
      </c>
      <c r="G193" t="s" s="1">
        <v>2953</v>
      </c>
      <c r="H193" t="s" s="1">
        <v>1445</v>
      </c>
      <c r="I193" t="s" s="1">
        <v>2178</v>
      </c>
      <c r="J193" t="s" s="1">
        <v>3293</v>
      </c>
      <c r="K193" t="s" s="1">
        <v>1007</v>
      </c>
      <c r="L193" t="s" s="1">
        <v>281</v>
      </c>
      <c r="M193" t="n" s="5">
        <v>7452.0</v>
      </c>
      <c r="N193" t="n" s="7">
        <v>44308.0</v>
      </c>
      <c r="O193" t="n" s="7">
        <v>44561.0</v>
      </c>
      <c r="P193" t="s" s="1">
        <v>3384</v>
      </c>
    </row>
    <row r="194" spans="1:16">
      <c r="A194" t="n" s="4">
        <v>190</v>
      </c>
      <c r="B194" s="2">
        <f>HYPERLINK("https://my.zakupki.prom.ua/remote/dispatcher/state_purchase_view/23523657", "UA-2021-02-02-002454-a")</f>
        <v/>
      </c>
      <c r="C194" t="s" s="2">
        <v>3102</v>
      </c>
      <c r="D194" s="2">
        <f>HYPERLINK("https://my.zakupki.prom.ua/remote/dispatcher/state_contracting_view/7448710", "UA-2021-02-02-002454-a-a1")</f>
        <v/>
      </c>
      <c r="E194" t="s" s="1">
        <v>1513</v>
      </c>
      <c r="F194" t="s" s="1">
        <v>3026</v>
      </c>
      <c r="G194" t="s" s="1">
        <v>3026</v>
      </c>
      <c r="H194" t="s" s="1">
        <v>1712</v>
      </c>
      <c r="I194" t="s" s="1">
        <v>2178</v>
      </c>
      <c r="J194" t="s" s="1">
        <v>3341</v>
      </c>
      <c r="K194" t="s" s="1">
        <v>590</v>
      </c>
      <c r="L194" t="s" s="1">
        <v>208</v>
      </c>
      <c r="M194" t="n" s="5">
        <v>28320.0</v>
      </c>
      <c r="N194" t="n" s="7">
        <v>44228.0</v>
      </c>
      <c r="O194" t="n" s="7">
        <v>44561.0</v>
      </c>
      <c r="P194" t="s" s="1">
        <v>3384</v>
      </c>
    </row>
    <row r="195" spans="1:16">
      <c r="A195" t="n" s="4">
        <v>191</v>
      </c>
      <c r="B195" s="2">
        <f>HYPERLINK("https://my.zakupki.prom.ua/remote/dispatcher/state_purchase_view/32440736", "UA-2021-12-01-008779-c")</f>
        <v/>
      </c>
      <c r="C195" t="s" s="2">
        <v>3102</v>
      </c>
      <c r="D195" s="2">
        <f>HYPERLINK("https://my.zakupki.prom.ua/remote/dispatcher/state_contracting_view/11623886", "UA-2021-12-01-008779-c-c1")</f>
        <v/>
      </c>
      <c r="E195" t="s" s="1">
        <v>1990</v>
      </c>
      <c r="F195" t="s" s="1">
        <v>2927</v>
      </c>
      <c r="G195" t="s" s="1">
        <v>2926</v>
      </c>
      <c r="H195" t="s" s="1">
        <v>1178</v>
      </c>
      <c r="I195" t="s" s="1">
        <v>2178</v>
      </c>
      <c r="J195" t="s" s="1">
        <v>3250</v>
      </c>
      <c r="K195" t="s" s="1">
        <v>663</v>
      </c>
      <c r="L195" t="s" s="1">
        <v>1621</v>
      </c>
      <c r="M195" t="n" s="5">
        <v>4200.0</v>
      </c>
      <c r="N195" t="n" s="7">
        <v>44531.0</v>
      </c>
      <c r="O195" t="n" s="7">
        <v>44561.0</v>
      </c>
      <c r="P195" t="s" s="1">
        <v>3384</v>
      </c>
    </row>
    <row r="196" spans="1:16">
      <c r="A196" t="n" s="4">
        <v>192</v>
      </c>
      <c r="B196" s="2">
        <f>HYPERLINK("https://my.zakupki.prom.ua/remote/dispatcher/state_purchase_view/31659016", "UA-2021-11-11-001338-a")</f>
        <v/>
      </c>
      <c r="C196" t="s" s="2">
        <v>3102</v>
      </c>
      <c r="D196" s="2">
        <f>HYPERLINK("https://my.zakupki.prom.ua/remote/dispatcher/state_contracting_view/11262145", "UA-2021-11-11-001338-a-a1")</f>
        <v/>
      </c>
      <c r="E196" t="s" s="1">
        <v>1288</v>
      </c>
      <c r="F196" t="s" s="1">
        <v>3019</v>
      </c>
      <c r="G196" t="s" s="1">
        <v>3019</v>
      </c>
      <c r="H196" t="s" s="1">
        <v>1632</v>
      </c>
      <c r="I196" t="s" s="1">
        <v>2178</v>
      </c>
      <c r="J196" t="s" s="1">
        <v>3216</v>
      </c>
      <c r="K196" t="s" s="1">
        <v>519</v>
      </c>
      <c r="L196" t="s" s="1">
        <v>1581</v>
      </c>
      <c r="M196" t="n" s="5">
        <v>25000.0</v>
      </c>
      <c r="N196" t="n" s="7">
        <v>44511.0</v>
      </c>
      <c r="O196" t="n" s="7">
        <v>44561.0</v>
      </c>
      <c r="P196" t="s" s="1">
        <v>3384</v>
      </c>
    </row>
    <row r="197" spans="1:16">
      <c r="A197" t="n" s="4">
        <v>193</v>
      </c>
      <c r="B197" s="2">
        <f>HYPERLINK("https://my.zakupki.prom.ua/remote/dispatcher/state_purchase_view/24973439", "UA-2021-03-17-004687-c")</f>
        <v/>
      </c>
      <c r="C197" t="s" s="2">
        <v>3102</v>
      </c>
      <c r="D197" s="2">
        <f>HYPERLINK("https://my.zakupki.prom.ua/remote/dispatcher/state_contracting_view/8124355", "UA-2021-03-17-004687-c-c1")</f>
        <v/>
      </c>
      <c r="E197" t="s" s="1">
        <v>1768</v>
      </c>
      <c r="F197" t="s" s="1">
        <v>2560</v>
      </c>
      <c r="G197" t="s" s="1">
        <v>2560</v>
      </c>
      <c r="H197" t="s" s="1">
        <v>763</v>
      </c>
      <c r="I197" t="s" s="1">
        <v>2178</v>
      </c>
      <c r="J197" t="s" s="1">
        <v>3159</v>
      </c>
      <c r="K197" t="s" s="1">
        <v>799</v>
      </c>
      <c r="L197" t="s" s="1">
        <v>469</v>
      </c>
      <c r="M197" t="n" s="5">
        <v>75000.0</v>
      </c>
      <c r="N197" t="n" s="7">
        <v>44272.0</v>
      </c>
      <c r="O197" t="n" s="7">
        <v>44561.0</v>
      </c>
      <c r="P197" t="s" s="1">
        <v>3384</v>
      </c>
    </row>
    <row r="198" spans="1:16">
      <c r="A198" t="n" s="4">
        <v>194</v>
      </c>
      <c r="B198" s="2">
        <f>HYPERLINK("https://my.zakupki.prom.ua/remote/dispatcher/state_purchase_view/25076825", "UA-2021-03-19-005394-c")</f>
        <v/>
      </c>
      <c r="C198" t="s" s="2">
        <v>3102</v>
      </c>
      <c r="D198" s="2">
        <f>HYPERLINK("https://my.zakupki.prom.ua/remote/dispatcher/state_contracting_view/8181161", "UA-2021-03-19-005394-c-c1")</f>
        <v/>
      </c>
      <c r="E198" t="s" s="1">
        <v>1437</v>
      </c>
      <c r="F198" t="s" s="1">
        <v>2262</v>
      </c>
      <c r="G198" t="s" s="1">
        <v>2262</v>
      </c>
      <c r="H198" t="s" s="1">
        <v>254</v>
      </c>
      <c r="I198" t="s" s="1">
        <v>2178</v>
      </c>
      <c r="J198" t="s" s="1">
        <v>3356</v>
      </c>
      <c r="K198" t="s" s="1">
        <v>814</v>
      </c>
      <c r="L198" t="s" s="1">
        <v>540</v>
      </c>
      <c r="M198" t="n" s="5">
        <v>4800.0</v>
      </c>
      <c r="N198" t="n" s="7">
        <v>44274.0</v>
      </c>
      <c r="O198" t="n" s="7">
        <v>44561.0</v>
      </c>
      <c r="P198" t="s" s="1">
        <v>3384</v>
      </c>
    </row>
    <row r="199" spans="1:16">
      <c r="A199" t="n" s="4">
        <v>195</v>
      </c>
      <c r="B199" s="2">
        <f>HYPERLINK("https://my.zakupki.prom.ua/remote/dispatcher/state_purchase_view/25120018", "UA-2021-03-22-004544-c")</f>
        <v/>
      </c>
      <c r="C199" t="s" s="2">
        <v>3102</v>
      </c>
      <c r="D199" s="2">
        <f>HYPERLINK("https://my.zakupki.prom.ua/remote/dispatcher/state_contracting_view/8201676", "UA-2021-03-22-004544-c-c1")</f>
        <v/>
      </c>
      <c r="E199" t="s" s="1">
        <v>2028</v>
      </c>
      <c r="F199" t="s" s="1">
        <v>2769</v>
      </c>
      <c r="G199" t="s" s="1">
        <v>2769</v>
      </c>
      <c r="H199" t="s" s="1">
        <v>921</v>
      </c>
      <c r="I199" t="s" s="1">
        <v>2178</v>
      </c>
      <c r="J199" t="s" s="1">
        <v>3306</v>
      </c>
      <c r="K199" t="s" s="1">
        <v>996</v>
      </c>
      <c r="L199" t="s" s="1">
        <v>2152</v>
      </c>
      <c r="M199" t="n" s="5">
        <v>9300.0</v>
      </c>
      <c r="N199" t="n" s="7">
        <v>44277.0</v>
      </c>
      <c r="O199" t="n" s="7">
        <v>44561.0</v>
      </c>
      <c r="P199" t="s" s="1">
        <v>3384</v>
      </c>
    </row>
    <row r="200" spans="1:16">
      <c r="A200" t="n" s="4">
        <v>196</v>
      </c>
      <c r="B200" s="2">
        <f>HYPERLINK("https://my.zakupki.prom.ua/remote/dispatcher/state_purchase_view/25080801", "UA-2021-03-19-002735-a")</f>
        <v/>
      </c>
      <c r="C200" t="s" s="2">
        <v>3102</v>
      </c>
      <c r="D200" s="2">
        <f>HYPERLINK("https://my.zakupki.prom.ua/remote/dispatcher/state_contracting_view/8181297", "UA-2021-03-19-002735-a-a1")</f>
        <v/>
      </c>
      <c r="E200" t="s" s="1">
        <v>1537</v>
      </c>
      <c r="F200" t="s" s="1">
        <v>2332</v>
      </c>
      <c r="G200" t="s" s="1">
        <v>2332</v>
      </c>
      <c r="H200" t="s" s="1">
        <v>372</v>
      </c>
      <c r="I200" t="s" s="1">
        <v>2178</v>
      </c>
      <c r="J200" t="s" s="1">
        <v>3265</v>
      </c>
      <c r="K200" t="s" s="1">
        <v>976</v>
      </c>
      <c r="L200" t="s" s="1">
        <v>49</v>
      </c>
      <c r="M200" t="n" s="5">
        <v>5040.0</v>
      </c>
      <c r="N200" t="n" s="7">
        <v>44274.0</v>
      </c>
      <c r="O200" t="n" s="7">
        <v>44561.0</v>
      </c>
      <c r="P200" t="s" s="1">
        <v>3384</v>
      </c>
    </row>
    <row r="201" spans="1:16">
      <c r="A201" t="n" s="4">
        <v>197</v>
      </c>
      <c r="B201" s="2">
        <f>HYPERLINK("https://my.zakupki.prom.ua/remote/dispatcher/state_purchase_view/26454813", "UA-2021-05-12-006274-b")</f>
        <v/>
      </c>
      <c r="C201" t="s" s="2">
        <v>3102</v>
      </c>
      <c r="D201" s="2">
        <f>HYPERLINK("https://my.zakupki.prom.ua/remote/dispatcher/state_contracting_view/8833365", "UA-2021-05-12-006274-b-b1")</f>
        <v/>
      </c>
      <c r="E201" t="s" s="1">
        <v>636</v>
      </c>
      <c r="F201" t="s" s="1">
        <v>2369</v>
      </c>
      <c r="G201" t="s" s="1">
        <v>3489</v>
      </c>
      <c r="H201" t="s" s="1">
        <v>533</v>
      </c>
      <c r="I201" t="s" s="1">
        <v>2178</v>
      </c>
      <c r="J201" t="s" s="1">
        <v>3131</v>
      </c>
      <c r="K201" t="s" s="1">
        <v>658</v>
      </c>
      <c r="L201" t="s" s="1">
        <v>485</v>
      </c>
      <c r="M201" t="n" s="5">
        <v>3259.2</v>
      </c>
      <c r="N201" t="n" s="7">
        <v>44328.0</v>
      </c>
      <c r="O201" t="n" s="7">
        <v>44561.0</v>
      </c>
      <c r="P201" t="s" s="1">
        <v>3384</v>
      </c>
    </row>
    <row r="202" spans="1:16">
      <c r="A202" t="n" s="4">
        <v>198</v>
      </c>
      <c r="B202" s="2">
        <f>HYPERLINK("https://my.zakupki.prom.ua/remote/dispatcher/state_purchase_view/26260775", "UA-2021-04-29-005909-c")</f>
        <v/>
      </c>
      <c r="C202" t="s" s="2">
        <v>3102</v>
      </c>
      <c r="D202" s="2">
        <f>HYPERLINK("https://my.zakupki.prom.ua/remote/dispatcher/state_contracting_view/8739642", "UA-2021-04-29-005909-c-c1")</f>
        <v/>
      </c>
      <c r="E202" t="s" s="1">
        <v>2029</v>
      </c>
      <c r="F202" t="s" s="1">
        <v>2421</v>
      </c>
      <c r="G202" t="s" s="1">
        <v>2421</v>
      </c>
      <c r="H202" t="s" s="1">
        <v>693</v>
      </c>
      <c r="I202" t="s" s="1">
        <v>2178</v>
      </c>
      <c r="J202" t="s" s="1">
        <v>3112</v>
      </c>
      <c r="K202" t="s" s="1">
        <v>802</v>
      </c>
      <c r="L202" t="s" s="1">
        <v>720</v>
      </c>
      <c r="M202" t="n" s="5">
        <v>1380.85</v>
      </c>
      <c r="N202" t="n" s="7">
        <v>44315.0</v>
      </c>
      <c r="O202" t="n" s="7">
        <v>44561.0</v>
      </c>
      <c r="P202" t="s" s="1">
        <v>3384</v>
      </c>
    </row>
    <row r="203" spans="1:16">
      <c r="A203" t="n" s="4">
        <v>199</v>
      </c>
      <c r="B203" s="2">
        <f>HYPERLINK("https://my.zakupki.prom.ua/remote/dispatcher/state_purchase_view/26257276", "UA-2021-04-29-004710-c")</f>
        <v/>
      </c>
      <c r="C203" t="s" s="2">
        <v>3102</v>
      </c>
      <c r="D203" s="2">
        <f>HYPERLINK("https://my.zakupki.prom.ua/remote/dispatcher/state_contracting_view/8739110", "UA-2021-04-29-004710-c-c1")</f>
        <v/>
      </c>
      <c r="E203" t="s" s="1">
        <v>1947</v>
      </c>
      <c r="F203" t="s" s="1">
        <v>2887</v>
      </c>
      <c r="G203" t="s" s="1">
        <v>2887</v>
      </c>
      <c r="H203" t="s" s="1">
        <v>1084</v>
      </c>
      <c r="I203" t="s" s="1">
        <v>2178</v>
      </c>
      <c r="J203" t="s" s="1">
        <v>3112</v>
      </c>
      <c r="K203" t="s" s="1">
        <v>802</v>
      </c>
      <c r="L203" t="s" s="1">
        <v>445</v>
      </c>
      <c r="M203" t="n" s="5">
        <v>20151.55</v>
      </c>
      <c r="N203" t="n" s="7">
        <v>44315.0</v>
      </c>
      <c r="O203" t="n" s="7">
        <v>44561.0</v>
      </c>
      <c r="P203" t="s" s="1">
        <v>3384</v>
      </c>
    </row>
    <row r="204" spans="1:16">
      <c r="A204" t="n" s="4">
        <v>200</v>
      </c>
      <c r="B204" s="2">
        <f>HYPERLINK("https://my.zakupki.prom.ua/remote/dispatcher/state_purchase_view/26442737", "UA-2021-05-12-001958-b")</f>
        <v/>
      </c>
      <c r="C204" t="s" s="2">
        <v>3102</v>
      </c>
      <c r="D204" s="2">
        <f>HYPERLINK("https://my.zakupki.prom.ua/remote/dispatcher/state_contracting_view/8829527", "UA-2021-05-12-001958-b-b1")</f>
        <v/>
      </c>
      <c r="E204" t="s" s="1">
        <v>2114</v>
      </c>
      <c r="F204" t="s" s="1">
        <v>2212</v>
      </c>
      <c r="G204" t="s" s="1">
        <v>2212</v>
      </c>
      <c r="H204" t="s" s="1">
        <v>486</v>
      </c>
      <c r="I204" t="s" s="1">
        <v>2178</v>
      </c>
      <c r="J204" t="s" s="1">
        <v>2144</v>
      </c>
      <c r="K204" t="s" s="1">
        <v>428</v>
      </c>
      <c r="L204" t="s" s="1">
        <v>1197</v>
      </c>
      <c r="M204" t="n" s="5">
        <v>3760.0</v>
      </c>
      <c r="N204" t="n" s="7">
        <v>44328.0</v>
      </c>
      <c r="O204" t="n" s="7">
        <v>44561.0</v>
      </c>
      <c r="P204" t="s" s="1">
        <v>3384</v>
      </c>
    </row>
    <row r="205" spans="1:16">
      <c r="A205" t="n" s="4">
        <v>201</v>
      </c>
      <c r="B205" s="2">
        <f>HYPERLINK("https://my.zakupki.prom.ua/remote/dispatcher/state_purchase_view/26335055", "UA-2021-05-06-001910-c")</f>
        <v/>
      </c>
      <c r="C205" t="s" s="2">
        <v>3102</v>
      </c>
      <c r="D205" s="2">
        <f>HYPERLINK("https://my.zakupki.prom.ua/remote/dispatcher/state_contracting_view/8777390", "UA-2021-05-06-001910-c-c1")</f>
        <v/>
      </c>
      <c r="E205" t="s" s="1">
        <v>78</v>
      </c>
      <c r="F205" t="s" s="1">
        <v>2891</v>
      </c>
      <c r="G205" t="s" s="1">
        <v>2891</v>
      </c>
      <c r="H205" t="s" s="1">
        <v>1084</v>
      </c>
      <c r="I205" t="s" s="1">
        <v>2178</v>
      </c>
      <c r="J205" t="s" s="1">
        <v>2141</v>
      </c>
      <c r="K205" t="s" s="1">
        <v>438</v>
      </c>
      <c r="L205" t="s" s="1">
        <v>1124</v>
      </c>
      <c r="M205" t="n" s="5">
        <v>668.0</v>
      </c>
      <c r="N205" t="n" s="7">
        <v>44322.0</v>
      </c>
      <c r="O205" t="n" s="7">
        <v>44561.0</v>
      </c>
      <c r="P205" t="s" s="1">
        <v>3384</v>
      </c>
    </row>
    <row r="206" spans="1:16">
      <c r="A206" t="n" s="4">
        <v>202</v>
      </c>
      <c r="B206" s="2">
        <f>HYPERLINK("https://my.zakupki.prom.ua/remote/dispatcher/state_purchase_view/26304681", "UA-2021-05-05-001730-c")</f>
        <v/>
      </c>
      <c r="C206" t="s" s="2">
        <v>3102</v>
      </c>
      <c r="D206" s="2">
        <f>HYPERLINK("https://my.zakupki.prom.ua/remote/dispatcher/state_contracting_view/8774287", "UA-2021-05-05-001730-c-c1")</f>
        <v/>
      </c>
      <c r="E206" t="s" s="1">
        <v>1910</v>
      </c>
      <c r="F206" t="s" s="1">
        <v>2538</v>
      </c>
      <c r="G206" t="s" s="1">
        <v>2538</v>
      </c>
      <c r="H206" t="s" s="1">
        <v>759</v>
      </c>
      <c r="I206" t="s" s="1">
        <v>2178</v>
      </c>
      <c r="J206" t="s" s="1">
        <v>3277</v>
      </c>
      <c r="K206" t="s" s="1">
        <v>519</v>
      </c>
      <c r="L206" t="s" s="1">
        <v>1109</v>
      </c>
      <c r="M206" t="n" s="5">
        <v>903.84</v>
      </c>
      <c r="N206" t="n" s="7">
        <v>44321.0</v>
      </c>
      <c r="O206" t="n" s="7">
        <v>44561.0</v>
      </c>
      <c r="P206" t="s" s="1">
        <v>3384</v>
      </c>
    </row>
    <row r="207" spans="1:16">
      <c r="A207" t="n" s="4">
        <v>203</v>
      </c>
      <c r="B207" s="2">
        <f>HYPERLINK("https://my.zakupki.prom.ua/remote/dispatcher/state_purchase_view/26711183", "UA-2021-05-20-001870-b")</f>
        <v/>
      </c>
      <c r="C207" t="s" s="2">
        <v>3102</v>
      </c>
      <c r="D207" s="2">
        <f>HYPERLINK("https://my.zakupki.prom.ua/remote/dispatcher/state_contracting_view/8954308", "UA-2021-05-20-001870-b-b1")</f>
        <v/>
      </c>
      <c r="E207" t="s" s="1">
        <v>621</v>
      </c>
      <c r="F207" t="s" s="1">
        <v>2510</v>
      </c>
      <c r="G207" t="s" s="1">
        <v>2510</v>
      </c>
      <c r="H207" t="s" s="1">
        <v>759</v>
      </c>
      <c r="I207" t="s" s="1">
        <v>2178</v>
      </c>
      <c r="J207" t="s" s="1">
        <v>3111</v>
      </c>
      <c r="K207" t="s" s="1">
        <v>513</v>
      </c>
      <c r="L207" t="s" s="1">
        <v>1240</v>
      </c>
      <c r="M207" t="n" s="5">
        <v>51600.0</v>
      </c>
      <c r="N207" t="n" s="7">
        <v>44336.0</v>
      </c>
      <c r="O207" t="n" s="7">
        <v>44561.0</v>
      </c>
      <c r="P207" t="s" s="1">
        <v>3384</v>
      </c>
    </row>
    <row r="208" spans="1:16">
      <c r="A208" t="n" s="4">
        <v>204</v>
      </c>
      <c r="B208" s="2">
        <f>HYPERLINK("https://my.zakupki.prom.ua/remote/dispatcher/state_purchase_view/27771417", "UA-2021-06-25-001757-c")</f>
        <v/>
      </c>
      <c r="C208" t="s" s="2">
        <v>3102</v>
      </c>
      <c r="D208" s="2">
        <f>HYPERLINK("https://my.zakupki.prom.ua/remote/dispatcher/state_contracting_view/9465776", "UA-2021-06-25-001757-c-c1")</f>
        <v/>
      </c>
      <c r="E208" t="s" s="1">
        <v>2025</v>
      </c>
      <c r="F208" t="s" s="1">
        <v>2855</v>
      </c>
      <c r="G208" t="s" s="1">
        <v>2855</v>
      </c>
      <c r="H208" t="s" s="1">
        <v>1075</v>
      </c>
      <c r="I208" t="s" s="1">
        <v>2178</v>
      </c>
      <c r="J208" t="s" s="1">
        <v>3112</v>
      </c>
      <c r="K208" t="s" s="1">
        <v>802</v>
      </c>
      <c r="L208" t="s" s="1">
        <v>62</v>
      </c>
      <c r="M208" t="n" s="5">
        <v>979.4</v>
      </c>
      <c r="N208" t="n" s="7">
        <v>44372.0</v>
      </c>
      <c r="O208" t="n" s="7">
        <v>44561.0</v>
      </c>
      <c r="P208" t="s" s="1">
        <v>3384</v>
      </c>
    </row>
    <row r="209" spans="1:16">
      <c r="A209" t="n" s="4">
        <v>205</v>
      </c>
      <c r="B209" s="2">
        <f>HYPERLINK("https://my.zakupki.prom.ua/remote/dispatcher/state_purchase_view/27779146", "UA-2021-06-25-004050-c")</f>
        <v/>
      </c>
      <c r="C209" t="s" s="2">
        <v>3102</v>
      </c>
      <c r="D209" s="2">
        <f>HYPERLINK("https://my.zakupki.prom.ua/remote/dispatcher/state_contracting_view/9464279", "UA-2021-06-25-004050-c-c1")</f>
        <v/>
      </c>
      <c r="E209" t="s" s="1">
        <v>1465</v>
      </c>
      <c r="F209" t="s" s="1">
        <v>2836</v>
      </c>
      <c r="G209" t="s" s="1">
        <v>2836</v>
      </c>
      <c r="H209" t="s" s="1">
        <v>1068</v>
      </c>
      <c r="I209" t="s" s="1">
        <v>2178</v>
      </c>
      <c r="J209" t="s" s="1">
        <v>3112</v>
      </c>
      <c r="K209" t="s" s="1">
        <v>802</v>
      </c>
      <c r="L209" t="s" s="1">
        <v>525</v>
      </c>
      <c r="M209" t="n" s="5">
        <v>286.7</v>
      </c>
      <c r="N209" t="n" s="7">
        <v>44372.0</v>
      </c>
      <c r="O209" t="n" s="7">
        <v>44561.0</v>
      </c>
      <c r="P209" t="s" s="1">
        <v>3384</v>
      </c>
    </row>
    <row r="210" spans="1:16">
      <c r="A210" t="n" s="4">
        <v>206</v>
      </c>
      <c r="B210" s="2">
        <f>HYPERLINK("https://my.zakupki.prom.ua/remote/dispatcher/state_purchase_view/27778072", "UA-2021-06-25-003785-c")</f>
        <v/>
      </c>
      <c r="C210" t="s" s="2">
        <v>3102</v>
      </c>
      <c r="D210" s="2">
        <f>HYPERLINK("https://my.zakupki.prom.ua/remote/dispatcher/state_contracting_view/9464606", "UA-2021-06-25-003785-c-c1")</f>
        <v/>
      </c>
      <c r="E210" t="s" s="1">
        <v>2081</v>
      </c>
      <c r="F210" t="s" s="1">
        <v>2725</v>
      </c>
      <c r="G210" t="s" s="1">
        <v>2725</v>
      </c>
      <c r="H210" t="s" s="1">
        <v>795</v>
      </c>
      <c r="I210" t="s" s="1">
        <v>2178</v>
      </c>
      <c r="J210" t="s" s="1">
        <v>3112</v>
      </c>
      <c r="K210" t="s" s="1">
        <v>802</v>
      </c>
      <c r="L210" t="s" s="1">
        <v>446</v>
      </c>
      <c r="M210" t="n" s="5">
        <v>720.0</v>
      </c>
      <c r="N210" t="n" s="7">
        <v>44372.0</v>
      </c>
      <c r="O210" t="n" s="7">
        <v>44561.0</v>
      </c>
      <c r="P210" t="s" s="1">
        <v>3384</v>
      </c>
    </row>
    <row r="211" spans="1:16">
      <c r="A211" t="n" s="4">
        <v>207</v>
      </c>
      <c r="B211" s="2">
        <f>HYPERLINK("https://my.zakupki.prom.ua/remote/dispatcher/state_purchase_view/27778543", "UA-2021-06-25-003946-c")</f>
        <v/>
      </c>
      <c r="C211" t="s" s="2">
        <v>3102</v>
      </c>
      <c r="D211" s="2">
        <f>HYPERLINK("https://my.zakupki.prom.ua/remote/dispatcher/state_contracting_view/9464324", "UA-2021-06-25-003946-c-c1")</f>
        <v/>
      </c>
      <c r="E211" t="s" s="1">
        <v>471</v>
      </c>
      <c r="F211" t="s" s="1">
        <v>2863</v>
      </c>
      <c r="G211" t="s" s="1">
        <v>2863</v>
      </c>
      <c r="H211" t="s" s="1">
        <v>1076</v>
      </c>
      <c r="I211" t="s" s="1">
        <v>2178</v>
      </c>
      <c r="J211" t="s" s="1">
        <v>3112</v>
      </c>
      <c r="K211" t="s" s="1">
        <v>802</v>
      </c>
      <c r="L211" t="s" s="1">
        <v>501</v>
      </c>
      <c r="M211" t="n" s="5">
        <v>51.5</v>
      </c>
      <c r="N211" t="n" s="7">
        <v>44372.0</v>
      </c>
      <c r="O211" t="n" s="7">
        <v>44561.0</v>
      </c>
      <c r="P211" t="s" s="1">
        <v>3384</v>
      </c>
    </row>
    <row r="212" spans="1:16">
      <c r="A212" t="n" s="4">
        <v>208</v>
      </c>
      <c r="B212" s="2">
        <f>HYPERLINK("https://my.zakupki.prom.ua/remote/dispatcher/state_purchase_view/27366208", "UA-2021-06-10-007173-b")</f>
        <v/>
      </c>
      <c r="C212" t="s" s="2">
        <v>3102</v>
      </c>
      <c r="D212" s="2">
        <f>HYPERLINK("https://my.zakupki.prom.ua/remote/dispatcher/state_contracting_view/9264855", "UA-2021-06-10-007173-b-b1")</f>
        <v/>
      </c>
      <c r="E212" t="s" s="1">
        <v>1729</v>
      </c>
      <c r="F212" t="s" s="1">
        <v>2213</v>
      </c>
      <c r="G212" t="s" s="1">
        <v>2213</v>
      </c>
      <c r="H212" t="s" s="1">
        <v>486</v>
      </c>
      <c r="I212" t="s" s="1">
        <v>2178</v>
      </c>
      <c r="J212" t="s" s="1">
        <v>3258</v>
      </c>
      <c r="K212" t="s" s="1">
        <v>776</v>
      </c>
      <c r="L212" t="s" s="1">
        <v>455</v>
      </c>
      <c r="M212" t="n" s="5">
        <v>300.0</v>
      </c>
      <c r="N212" t="n" s="7">
        <v>44356.0</v>
      </c>
      <c r="O212" t="n" s="7">
        <v>44561.0</v>
      </c>
      <c r="P212" t="s" s="1">
        <v>3384</v>
      </c>
    </row>
    <row r="213" spans="1:16">
      <c r="A213" t="n" s="4">
        <v>209</v>
      </c>
      <c r="B213" s="2">
        <f>HYPERLINK("https://my.zakupki.prom.ua/remote/dispatcher/state_purchase_view/27358121", "UA-2021-06-10-004957-b")</f>
        <v/>
      </c>
      <c r="C213" t="s" s="2">
        <v>3102</v>
      </c>
      <c r="D213" s="2">
        <f>HYPERLINK("https://my.zakupki.prom.ua/remote/dispatcher/state_contracting_view/9261463", "UA-2021-06-10-004957-b-b1")</f>
        <v/>
      </c>
      <c r="E213" t="s" s="1">
        <v>1949</v>
      </c>
      <c r="F213" t="s" s="1">
        <v>2928</v>
      </c>
      <c r="G213" t="s" s="1">
        <v>2928</v>
      </c>
      <c r="H213" t="s" s="1">
        <v>1179</v>
      </c>
      <c r="I213" t="s" s="1">
        <v>2178</v>
      </c>
      <c r="J213" t="s" s="1">
        <v>2123</v>
      </c>
      <c r="K213" t="s" s="1">
        <v>54</v>
      </c>
      <c r="L213" t="s" s="1">
        <v>750</v>
      </c>
      <c r="M213" t="n" s="5">
        <v>1384.9</v>
      </c>
      <c r="N213" t="n" s="7">
        <v>44357.0</v>
      </c>
      <c r="O213" t="n" s="7">
        <v>44561.0</v>
      </c>
      <c r="P213" t="s" s="1">
        <v>3384</v>
      </c>
    </row>
    <row r="214" spans="1:16">
      <c r="A214" t="n" s="4">
        <v>210</v>
      </c>
      <c r="B214" s="2">
        <f>HYPERLINK("https://my.zakupki.prom.ua/remote/dispatcher/state_purchase_view/31535229", "UA-2021-11-08-010798-b")</f>
        <v/>
      </c>
      <c r="C214" t="s" s="2">
        <v>3102</v>
      </c>
      <c r="D214" s="2">
        <f>HYPERLINK("https://my.zakupki.prom.ua/remote/dispatcher/state_contracting_view/11415233", "UA-2021-11-08-010798-b-b1")</f>
        <v/>
      </c>
      <c r="E214" t="s" s="1">
        <v>1812</v>
      </c>
      <c r="F214" t="s" s="1">
        <v>3025</v>
      </c>
      <c r="G214" t="s" s="1">
        <v>3025</v>
      </c>
      <c r="H214" t="s" s="1">
        <v>1711</v>
      </c>
      <c r="I214" t="s" s="1">
        <v>3142</v>
      </c>
      <c r="J214" t="s" s="1">
        <v>2187</v>
      </c>
      <c r="K214" t="s" s="1">
        <v>52</v>
      </c>
      <c r="L214" t="s" s="1">
        <v>671</v>
      </c>
      <c r="M214" t="n" s="5">
        <v>31886.8</v>
      </c>
      <c r="N214" t="n" s="7">
        <v>44519.0</v>
      </c>
      <c r="O214" t="n" s="7">
        <v>44561.0</v>
      </c>
      <c r="P214" t="s" s="1">
        <v>3384</v>
      </c>
    </row>
    <row r="215" spans="1:16">
      <c r="A215" t="n" s="4">
        <v>211</v>
      </c>
      <c r="B215" s="2">
        <f>HYPERLINK("https://my.zakupki.prom.ua/remote/dispatcher/state_purchase_view/23799568", "UA-2021-02-09-003139-a")</f>
        <v/>
      </c>
      <c r="C215" t="s" s="2">
        <v>3102</v>
      </c>
      <c r="D215" s="2">
        <f>HYPERLINK("https://my.zakupki.prom.ua/remote/dispatcher/state_contracting_view/7771344", "UA-2021-02-09-003139-a-a1")</f>
        <v/>
      </c>
      <c r="E215" t="s" s="1">
        <v>1927</v>
      </c>
      <c r="F215" t="s" s="1">
        <v>3025</v>
      </c>
      <c r="G215" t="s" s="1">
        <v>3025</v>
      </c>
      <c r="H215" t="s" s="1">
        <v>1711</v>
      </c>
      <c r="I215" t="s" s="1">
        <v>3142</v>
      </c>
      <c r="J215" t="s" s="1">
        <v>2187</v>
      </c>
      <c r="K215" t="s" s="1">
        <v>52</v>
      </c>
      <c r="L215" t="s" s="1">
        <v>668</v>
      </c>
      <c r="M215" t="n" s="5">
        <v>120023.1</v>
      </c>
      <c r="N215" t="n" s="7">
        <v>44249.0</v>
      </c>
      <c r="O215" t="n" s="7">
        <v>44561.0</v>
      </c>
      <c r="P215" t="s" s="1">
        <v>3384</v>
      </c>
    </row>
    <row r="216" spans="1:16">
      <c r="A216" t="n" s="4">
        <v>212</v>
      </c>
      <c r="B216" s="2">
        <f>HYPERLINK("https://my.zakupki.prom.ua/remote/dispatcher/state_purchase_view/25366827", "UA-2021-03-30-000759-b")</f>
        <v/>
      </c>
      <c r="C216" t="s" s="2">
        <v>3102</v>
      </c>
      <c r="D216" s="2">
        <f>HYPERLINK("https://my.zakupki.prom.ua/remote/dispatcher/state_contracting_view/8312362", "UA-2021-03-30-000759-b-b1")</f>
        <v/>
      </c>
      <c r="E216" t="s" s="1">
        <v>809</v>
      </c>
      <c r="F216" t="s" s="1">
        <v>3037</v>
      </c>
      <c r="G216" t="s" s="1">
        <v>3037</v>
      </c>
      <c r="H216" t="s" s="1">
        <v>763</v>
      </c>
      <c r="I216" t="s" s="1">
        <v>2178</v>
      </c>
      <c r="J216" t="s" s="1">
        <v>3353</v>
      </c>
      <c r="K216" t="s" s="1">
        <v>610</v>
      </c>
      <c r="L216" t="s" s="1">
        <v>660</v>
      </c>
      <c r="M216" t="n" s="5">
        <v>231948.0</v>
      </c>
      <c r="N216" t="n" s="7">
        <v>44285.0</v>
      </c>
      <c r="O216" t="n" s="7">
        <v>44561.0</v>
      </c>
      <c r="P216" t="s" s="1">
        <v>3384</v>
      </c>
    </row>
    <row r="217" spans="1:16">
      <c r="A217" t="n" s="4">
        <v>213</v>
      </c>
      <c r="B217" s="2">
        <f>HYPERLINK("https://my.zakupki.prom.ua/remote/dispatcher/state_purchase_view/30289335", "UA-2021-09-28-002339-b")</f>
        <v/>
      </c>
      <c r="C217" t="s" s="2">
        <v>3102</v>
      </c>
      <c r="D217" s="2">
        <f>HYPERLINK("https://my.zakupki.prom.ua/remote/dispatcher/state_contracting_view/10633971", "UA-2021-09-28-002339-b-b1")</f>
        <v/>
      </c>
      <c r="E217" t="s" s="1">
        <v>749</v>
      </c>
      <c r="F217" t="s" s="1">
        <v>2842</v>
      </c>
      <c r="G217" t="s" s="1">
        <v>2842</v>
      </c>
      <c r="H217" t="s" s="1">
        <v>1069</v>
      </c>
      <c r="I217" t="s" s="1">
        <v>2178</v>
      </c>
      <c r="J217" t="s" s="1">
        <v>2141</v>
      </c>
      <c r="K217" t="s" s="1">
        <v>438</v>
      </c>
      <c r="L217" t="s" s="1">
        <v>1486</v>
      </c>
      <c r="M217" t="n" s="5">
        <v>144.0</v>
      </c>
      <c r="N217" t="n" s="7">
        <v>44467.0</v>
      </c>
      <c r="O217" t="n" s="7">
        <v>44561.0</v>
      </c>
      <c r="P217" t="s" s="1">
        <v>3384</v>
      </c>
    </row>
    <row r="218" spans="1:16">
      <c r="A218" t="n" s="4">
        <v>214</v>
      </c>
      <c r="B218" s="2">
        <f>HYPERLINK("https://my.zakupki.prom.ua/remote/dispatcher/state_purchase_view/30291508", "UA-2021-09-28-002922-b")</f>
        <v/>
      </c>
      <c r="C218" t="s" s="2">
        <v>3102</v>
      </c>
      <c r="D218" s="2">
        <f>HYPERLINK("https://my.zakupki.prom.ua/remote/dispatcher/state_contracting_view/10634890", "UA-2021-09-28-002922-b-b1")</f>
        <v/>
      </c>
      <c r="E218" t="s" s="1">
        <v>31</v>
      </c>
      <c r="F218" t="s" s="1">
        <v>2428</v>
      </c>
      <c r="G218" t="s" s="1">
        <v>2428</v>
      </c>
      <c r="H218" t="s" s="1">
        <v>693</v>
      </c>
      <c r="I218" t="s" s="1">
        <v>2178</v>
      </c>
      <c r="J218" t="s" s="1">
        <v>2141</v>
      </c>
      <c r="K218" t="s" s="1">
        <v>438</v>
      </c>
      <c r="L218" t="s" s="1">
        <v>1492</v>
      </c>
      <c r="M218" t="n" s="5">
        <v>1162.0</v>
      </c>
      <c r="N218" t="n" s="7">
        <v>44467.0</v>
      </c>
      <c r="O218" t="n" s="7">
        <v>44561.0</v>
      </c>
      <c r="P218" t="s" s="1">
        <v>3384</v>
      </c>
    </row>
    <row r="219" spans="1:16">
      <c r="A219" t="n" s="4">
        <v>215</v>
      </c>
      <c r="B219" s="2">
        <f>HYPERLINK("https://my.zakupki.prom.ua/remote/dispatcher/state_purchase_view/29986735", "UA-2021-09-17-010826-b")</f>
        <v/>
      </c>
      <c r="C219" t="s" s="2">
        <v>3102</v>
      </c>
      <c r="D219" s="2">
        <f>HYPERLINK("https://my.zakupki.prom.ua/remote/dispatcher/state_contracting_view/10494150", "UA-2021-09-17-010826-b-b1")</f>
        <v/>
      </c>
      <c r="E219" t="s" s="1">
        <v>1205</v>
      </c>
      <c r="F219" t="s" s="1">
        <v>2314</v>
      </c>
      <c r="G219" t="s" s="1">
        <v>2317</v>
      </c>
      <c r="H219" t="s" s="1">
        <v>279</v>
      </c>
      <c r="I219" t="s" s="1">
        <v>2178</v>
      </c>
      <c r="J219" t="s" s="1">
        <v>3356</v>
      </c>
      <c r="K219" t="s" s="1">
        <v>814</v>
      </c>
      <c r="L219" t="s" s="1">
        <v>1443</v>
      </c>
      <c r="M219" t="n" s="5">
        <v>3000.0</v>
      </c>
      <c r="N219" t="n" s="7">
        <v>44456.0</v>
      </c>
      <c r="O219" t="n" s="7">
        <v>44561.0</v>
      </c>
      <c r="P219" t="s" s="1">
        <v>3384</v>
      </c>
    </row>
    <row r="220" spans="1:16">
      <c r="A220" t="n" s="4">
        <v>216</v>
      </c>
      <c r="B220" s="2">
        <f>HYPERLINK("https://my.zakupki.prom.ua/remote/dispatcher/state_purchase_view/24719063", "UA-2021-03-09-012540-c")</f>
        <v/>
      </c>
      <c r="C220" t="s" s="2">
        <v>3102</v>
      </c>
      <c r="D220" s="2">
        <f>HYPERLINK("https://my.zakupki.prom.ua/remote/dispatcher/state_contracting_view/8002109", "UA-2021-03-09-012540-c-c1")</f>
        <v/>
      </c>
      <c r="E220" t="s" s="1">
        <v>2086</v>
      </c>
      <c r="F220" t="s" s="1">
        <v>2687</v>
      </c>
      <c r="G220" t="s" s="1">
        <v>3380</v>
      </c>
      <c r="H220" t="s" s="1">
        <v>774</v>
      </c>
      <c r="I220" t="s" s="1">
        <v>2178</v>
      </c>
      <c r="J220" t="s" s="1">
        <v>3277</v>
      </c>
      <c r="K220" t="s" s="1">
        <v>519</v>
      </c>
      <c r="L220" t="s" s="1">
        <v>251</v>
      </c>
      <c r="M220" t="n" s="5">
        <v>445650.52</v>
      </c>
      <c r="N220" t="n" s="7">
        <v>44260.0</v>
      </c>
      <c r="O220" t="n" s="7">
        <v>44561.0</v>
      </c>
      <c r="P220" t="s" s="1">
        <v>3384</v>
      </c>
    </row>
    <row r="221" spans="1:16">
      <c r="A221" t="n" s="4">
        <v>217</v>
      </c>
      <c r="B221" s="2">
        <f>HYPERLINK("https://my.zakupki.prom.ua/remote/dispatcher/state_purchase_view/24581817", "UA-2021-03-03-011955-c")</f>
        <v/>
      </c>
      <c r="C221" t="s" s="2">
        <v>3102</v>
      </c>
      <c r="D221" s="2">
        <f>HYPERLINK("https://my.zakupki.prom.ua/remote/dispatcher/state_contracting_view/7942739", "UA-2021-03-03-011955-c-c1")</f>
        <v/>
      </c>
      <c r="E221" t="s" s="1">
        <v>2042</v>
      </c>
      <c r="F221" t="s" s="1">
        <v>2685</v>
      </c>
      <c r="G221" t="s" s="1">
        <v>3517</v>
      </c>
      <c r="H221" t="s" s="1">
        <v>774</v>
      </c>
      <c r="I221" t="s" s="1">
        <v>2178</v>
      </c>
      <c r="J221" t="s" s="1">
        <v>3277</v>
      </c>
      <c r="K221" t="s" s="1">
        <v>519</v>
      </c>
      <c r="L221" t="s" s="1">
        <v>243</v>
      </c>
      <c r="M221" t="n" s="5">
        <v>117222.23</v>
      </c>
      <c r="N221" t="n" s="7">
        <v>44256.0</v>
      </c>
      <c r="O221" t="n" s="7">
        <v>44561.0</v>
      </c>
      <c r="P221" t="s" s="1">
        <v>3384</v>
      </c>
    </row>
    <row r="222" spans="1:16">
      <c r="A222" t="n" s="4">
        <v>218</v>
      </c>
      <c r="B222" s="2">
        <f>HYPERLINK("https://my.zakupki.prom.ua/remote/dispatcher/state_purchase_view/24567200", "UA-2021-03-03-006434-c")</f>
        <v/>
      </c>
      <c r="C222" t="s" s="2">
        <v>3102</v>
      </c>
      <c r="D222" s="2">
        <f>HYPERLINK("https://my.zakupki.prom.ua/remote/dispatcher/state_contracting_view/7937006", "UA-2021-03-03-006434-c-c1")</f>
        <v/>
      </c>
      <c r="E222" t="s" s="1">
        <v>1694</v>
      </c>
      <c r="F222" t="s" s="1">
        <v>2368</v>
      </c>
      <c r="G222" t="s" s="1">
        <v>2368</v>
      </c>
      <c r="H222" t="s" s="1">
        <v>529</v>
      </c>
      <c r="I222" t="s" s="1">
        <v>2178</v>
      </c>
      <c r="J222" t="s" s="1">
        <v>2122</v>
      </c>
      <c r="K222" t="s" s="1">
        <v>74</v>
      </c>
      <c r="L222" t="s" s="1">
        <v>326</v>
      </c>
      <c r="M222" t="n" s="5">
        <v>877500.0</v>
      </c>
      <c r="N222" t="n" s="7">
        <v>44258.0</v>
      </c>
      <c r="O222" t="n" s="7">
        <v>44561.0</v>
      </c>
      <c r="P222" t="s" s="1">
        <v>3384</v>
      </c>
    </row>
    <row r="223" spans="1:16">
      <c r="A223" t="n" s="4">
        <v>219</v>
      </c>
      <c r="B223" s="2">
        <f>HYPERLINK("https://my.zakupki.prom.ua/remote/dispatcher/state_purchase_view/26255321", "UA-2021-04-29-004050-c")</f>
        <v/>
      </c>
      <c r="C223" t="s" s="2">
        <v>3102</v>
      </c>
      <c r="D223" s="2">
        <f>HYPERLINK("https://my.zakupki.prom.ua/remote/dispatcher/state_contracting_view/8946911", "UA-2021-04-29-004050-c-c1")</f>
        <v/>
      </c>
      <c r="E223" t="s" s="1">
        <v>2070</v>
      </c>
      <c r="F223" t="s" s="1">
        <v>2293</v>
      </c>
      <c r="G223" t="s" s="1">
        <v>2293</v>
      </c>
      <c r="H223" t="s" s="1">
        <v>274</v>
      </c>
      <c r="I223" t="s" s="1">
        <v>3171</v>
      </c>
      <c r="J223" t="s" s="1">
        <v>3213</v>
      </c>
      <c r="K223" t="s" s="1">
        <v>731</v>
      </c>
      <c r="L223" t="s" s="1">
        <v>1234</v>
      </c>
      <c r="M223" t="n" s="5">
        <v>117216.0</v>
      </c>
      <c r="N223" t="n" s="7">
        <v>44335.0</v>
      </c>
      <c r="O223" t="n" s="7">
        <v>44561.0</v>
      </c>
      <c r="P223" t="s" s="1">
        <v>3384</v>
      </c>
    </row>
    <row r="224" spans="1:16">
      <c r="A224" t="n" s="4">
        <v>220</v>
      </c>
      <c r="B224" s="2">
        <f>HYPERLINK("https://my.zakupki.prom.ua/remote/dispatcher/state_purchase_view/26235692", "UA-2021-04-28-005114-a")</f>
        <v/>
      </c>
      <c r="C224" t="s" s="2">
        <v>3102</v>
      </c>
      <c r="D224" s="2">
        <f>HYPERLINK("https://my.zakupki.prom.ua/remote/dispatcher/state_contracting_view/8734491", "UA-2021-04-28-005114-a-a1")</f>
        <v/>
      </c>
      <c r="E224" t="s" s="1">
        <v>1837</v>
      </c>
      <c r="F224" t="s" s="1">
        <v>2777</v>
      </c>
      <c r="G224" t="s" s="1">
        <v>2777</v>
      </c>
      <c r="H224" t="s" s="1">
        <v>928</v>
      </c>
      <c r="I224" t="s" s="1">
        <v>2178</v>
      </c>
      <c r="J224" t="s" s="1">
        <v>3309</v>
      </c>
      <c r="K224" t="s" s="1">
        <v>611</v>
      </c>
      <c r="L224" t="s" s="1">
        <v>3193</v>
      </c>
      <c r="M224" t="n" s="5">
        <v>22312.5</v>
      </c>
      <c r="N224" t="n" s="7">
        <v>44314.0</v>
      </c>
      <c r="O224" t="n" s="7">
        <v>44561.0</v>
      </c>
      <c r="P224" t="s" s="1">
        <v>3384</v>
      </c>
    </row>
    <row r="225" spans="1:16">
      <c r="A225" t="n" s="4">
        <v>221</v>
      </c>
      <c r="B225" s="2">
        <f>HYPERLINK("https://my.zakupki.prom.ua/remote/dispatcher/state_purchase_view/25590479", "UA-2021-04-07-001464-a")</f>
        <v/>
      </c>
      <c r="C225" t="s" s="2">
        <v>3102</v>
      </c>
      <c r="D225" s="2">
        <f>HYPERLINK("https://my.zakupki.prom.ua/remote/dispatcher/state_contracting_view/8419376", "UA-2021-04-07-001464-a-a1")</f>
        <v/>
      </c>
      <c r="E225" t="s" s="1">
        <v>740</v>
      </c>
      <c r="F225" t="s" s="1">
        <v>2284</v>
      </c>
      <c r="G225" t="s" s="1">
        <v>2284</v>
      </c>
      <c r="H225" t="s" s="1">
        <v>264</v>
      </c>
      <c r="I225" t="s" s="1">
        <v>2178</v>
      </c>
      <c r="J225" t="s" s="1">
        <v>3356</v>
      </c>
      <c r="K225" t="s" s="1">
        <v>814</v>
      </c>
      <c r="L225" t="s" s="1">
        <v>846</v>
      </c>
      <c r="M225" t="n" s="5">
        <v>15000.0</v>
      </c>
      <c r="N225" t="n" s="7">
        <v>44292.0</v>
      </c>
      <c r="O225" t="n" s="7">
        <v>44561.0</v>
      </c>
      <c r="P225" t="s" s="1">
        <v>3384</v>
      </c>
    </row>
    <row r="226" spans="1:16">
      <c r="A226" t="n" s="4">
        <v>222</v>
      </c>
      <c r="B226" s="2">
        <f>HYPERLINK("https://my.zakupki.prom.ua/remote/dispatcher/state_purchase_view/25563053", "UA-2021-04-06-002972-c")</f>
        <v/>
      </c>
      <c r="C226" t="s" s="2">
        <v>3102</v>
      </c>
      <c r="D226" s="2">
        <f>HYPERLINK("https://my.zakupki.prom.ua/remote/dispatcher/state_contracting_view/8405350", "UA-2021-04-06-002972-c-c1")</f>
        <v/>
      </c>
      <c r="E226" t="s" s="1">
        <v>1056</v>
      </c>
      <c r="F226" t="s" s="1">
        <v>2757</v>
      </c>
      <c r="G226" t="s" s="1">
        <v>2757</v>
      </c>
      <c r="H226" t="s" s="1">
        <v>914</v>
      </c>
      <c r="I226" t="s" s="1">
        <v>2178</v>
      </c>
      <c r="J226" t="s" s="1">
        <v>3356</v>
      </c>
      <c r="K226" t="s" s="1">
        <v>814</v>
      </c>
      <c r="L226" t="s" s="1">
        <v>823</v>
      </c>
      <c r="M226" t="n" s="5">
        <v>14468.0</v>
      </c>
      <c r="N226" t="n" s="7">
        <v>44292.0</v>
      </c>
      <c r="O226" t="n" s="7">
        <v>44561.0</v>
      </c>
      <c r="P226" t="s" s="1">
        <v>3384</v>
      </c>
    </row>
    <row r="227" spans="1:16">
      <c r="A227" t="n" s="4">
        <v>223</v>
      </c>
      <c r="B227" s="2">
        <f>HYPERLINK("https://my.zakupki.prom.ua/remote/dispatcher/state_purchase_view/25561642", "UA-2021-04-06-002575-c")</f>
        <v/>
      </c>
      <c r="C227" t="s" s="2">
        <v>3102</v>
      </c>
      <c r="D227" s="2">
        <f>HYPERLINK("https://my.zakupki.prom.ua/remote/dispatcher/state_contracting_view/8404798", "UA-2021-04-06-002575-c-c1")</f>
        <v/>
      </c>
      <c r="E227" t="s" s="1">
        <v>1921</v>
      </c>
      <c r="F227" t="s" s="1">
        <v>2758</v>
      </c>
      <c r="G227" t="s" s="1">
        <v>2758</v>
      </c>
      <c r="H227" t="s" s="1">
        <v>914</v>
      </c>
      <c r="I227" t="s" s="1">
        <v>2178</v>
      </c>
      <c r="J227" t="s" s="1">
        <v>3356</v>
      </c>
      <c r="K227" t="s" s="1">
        <v>814</v>
      </c>
      <c r="L227" t="s" s="1">
        <v>815</v>
      </c>
      <c r="M227" t="n" s="5">
        <v>5029.8</v>
      </c>
      <c r="N227" t="n" s="7">
        <v>44292.0</v>
      </c>
      <c r="O227" t="n" s="7">
        <v>44561.0</v>
      </c>
      <c r="P227" t="s" s="1">
        <v>3384</v>
      </c>
    </row>
    <row r="228" spans="1:16">
      <c r="A228" t="n" s="4">
        <v>224</v>
      </c>
      <c r="B228" s="2">
        <f>HYPERLINK("https://my.zakupki.prom.ua/remote/dispatcher/state_purchase_view/25547721", "UA-2021-04-06-000870-a")</f>
        <v/>
      </c>
      <c r="C228" t="s" s="2">
        <v>3102</v>
      </c>
      <c r="D228" s="2">
        <f>HYPERLINK("https://my.zakupki.prom.ua/remote/dispatcher/state_contracting_view/8398219", "UA-2021-04-06-000870-a-a1")</f>
        <v/>
      </c>
      <c r="E228" t="s" s="1">
        <v>2048</v>
      </c>
      <c r="F228" t="s" s="1">
        <v>2760</v>
      </c>
      <c r="G228" t="s" s="1">
        <v>3502</v>
      </c>
      <c r="H228" t="s" s="1">
        <v>914</v>
      </c>
      <c r="I228" t="s" s="1">
        <v>2178</v>
      </c>
      <c r="J228" t="s" s="1">
        <v>3306</v>
      </c>
      <c r="K228" t="s" s="1">
        <v>996</v>
      </c>
      <c r="L228" t="s" s="1">
        <v>3077</v>
      </c>
      <c r="M228" t="n" s="5">
        <v>6129.0</v>
      </c>
      <c r="N228" t="n" s="7">
        <v>44292.0</v>
      </c>
      <c r="O228" t="n" s="7">
        <v>44561.0</v>
      </c>
      <c r="P228" t="s" s="1">
        <v>3384</v>
      </c>
    </row>
    <row r="229" spans="1:16">
      <c r="A229" t="n" s="4">
        <v>225</v>
      </c>
      <c r="B229" s="2">
        <f>HYPERLINK("https://my.zakupki.prom.ua/remote/dispatcher/state_purchase_view/25663090", "UA-2021-04-08-006014-a")</f>
        <v/>
      </c>
      <c r="C229" t="s" s="2">
        <v>3102</v>
      </c>
      <c r="D229" s="2">
        <f>HYPERLINK("https://my.zakupki.prom.ua/remote/dispatcher/state_contracting_view/8453319", "UA-2021-04-08-006014-a-a1")</f>
        <v/>
      </c>
      <c r="E229" t="s" s="1">
        <v>356</v>
      </c>
      <c r="F229" t="s" s="1">
        <v>2666</v>
      </c>
      <c r="G229" t="s" s="1">
        <v>2666</v>
      </c>
      <c r="H229" t="s" s="1">
        <v>774</v>
      </c>
      <c r="I229" t="s" s="1">
        <v>2178</v>
      </c>
      <c r="J229" t="s" s="1">
        <v>3277</v>
      </c>
      <c r="K229" t="s" s="1">
        <v>519</v>
      </c>
      <c r="L229" t="s" s="1">
        <v>913</v>
      </c>
      <c r="M229" t="n" s="5">
        <v>128382.0</v>
      </c>
      <c r="N229" t="n" s="7">
        <v>44294.0</v>
      </c>
      <c r="O229" t="n" s="7">
        <v>44561.0</v>
      </c>
      <c r="P229" t="s" s="1">
        <v>3384</v>
      </c>
    </row>
    <row r="230" spans="1:16">
      <c r="A230" t="n" s="4">
        <v>226</v>
      </c>
      <c r="B230" s="2">
        <f>HYPERLINK("https://my.zakupki.prom.ua/remote/dispatcher/state_purchase_view/24379662", "UA-2021-02-25-001510-b")</f>
        <v/>
      </c>
      <c r="C230" t="s" s="2">
        <v>3102</v>
      </c>
      <c r="D230" s="2">
        <f>HYPERLINK("https://my.zakupki.prom.ua/remote/dispatcher/state_contracting_view/7841197", "UA-2021-02-25-001510-b-b1")</f>
        <v/>
      </c>
      <c r="E230" t="s" s="1">
        <v>1494</v>
      </c>
      <c r="F230" t="s" s="1">
        <v>2806</v>
      </c>
      <c r="G230" t="s" s="1">
        <v>2806</v>
      </c>
      <c r="H230" t="s" s="1">
        <v>1025</v>
      </c>
      <c r="I230" t="s" s="1">
        <v>2178</v>
      </c>
      <c r="J230" t="s" s="1">
        <v>3111</v>
      </c>
      <c r="K230" t="s" s="1">
        <v>513</v>
      </c>
      <c r="L230" t="s" s="1">
        <v>205</v>
      </c>
      <c r="M230" t="n" s="5">
        <v>25685.0</v>
      </c>
      <c r="N230" t="n" s="7">
        <v>44252.0</v>
      </c>
      <c r="O230" t="n" s="7">
        <v>44561.0</v>
      </c>
      <c r="P230" t="s" s="1">
        <v>3384</v>
      </c>
    </row>
    <row r="231" spans="1:16">
      <c r="A231" t="n" s="4">
        <v>227</v>
      </c>
      <c r="B231" s="2">
        <f>HYPERLINK("https://my.zakupki.prom.ua/remote/dispatcher/state_purchase_view/26089659", "UA-2021-04-23-000764-b")</f>
        <v/>
      </c>
      <c r="C231" t="s" s="2">
        <v>3102</v>
      </c>
      <c r="D231" s="2">
        <f>HYPERLINK("https://my.zakupki.prom.ua/remote/dispatcher/state_contracting_view/8656582", "UA-2021-04-23-000764-b-b1")</f>
        <v/>
      </c>
      <c r="E231" t="s" s="1">
        <v>1966</v>
      </c>
      <c r="F231" t="s" s="1">
        <v>2657</v>
      </c>
      <c r="G231" t="s" s="1">
        <v>3465</v>
      </c>
      <c r="H231" t="s" s="1">
        <v>774</v>
      </c>
      <c r="I231" t="s" s="1">
        <v>2178</v>
      </c>
      <c r="J231" t="s" s="1">
        <v>3277</v>
      </c>
      <c r="K231" t="s" s="1">
        <v>519</v>
      </c>
      <c r="L231" t="s" s="1">
        <v>1040</v>
      </c>
      <c r="M231" t="n" s="5">
        <v>1502.78</v>
      </c>
      <c r="N231" t="n" s="7">
        <v>44308.0</v>
      </c>
      <c r="O231" t="n" s="7">
        <v>44561.0</v>
      </c>
      <c r="P231" t="s" s="1">
        <v>3384</v>
      </c>
    </row>
    <row r="232" spans="1:16">
      <c r="A232" t="n" s="4">
        <v>228</v>
      </c>
      <c r="B232" s="2">
        <f>HYPERLINK("https://my.zakupki.prom.ua/remote/dispatcher/state_purchase_view/25238835", "UA-2021-03-25-005576-b")</f>
        <v/>
      </c>
      <c r="C232" t="s" s="2">
        <v>3102</v>
      </c>
      <c r="D232" s="2">
        <f>HYPERLINK("https://my.zakupki.prom.ua/remote/dispatcher/state_contracting_view/8273271", "UA-2021-03-25-005576-b-b1")</f>
        <v/>
      </c>
      <c r="E232" t="s" s="1">
        <v>1839</v>
      </c>
      <c r="F232" t="s" s="1">
        <v>2544</v>
      </c>
      <c r="G232" t="s" s="1">
        <v>2544</v>
      </c>
      <c r="H232" t="s" s="1">
        <v>759</v>
      </c>
      <c r="I232" t="s" s="1">
        <v>2178</v>
      </c>
      <c r="J232" t="s" s="1">
        <v>3286</v>
      </c>
      <c r="K232" t="s" s="1">
        <v>820</v>
      </c>
      <c r="L232" t="s" s="1">
        <v>588</v>
      </c>
      <c r="M232" t="n" s="5">
        <v>3850.0</v>
      </c>
      <c r="N232" t="n" s="7">
        <v>44280.0</v>
      </c>
      <c r="O232" t="n" s="7">
        <v>44561.0</v>
      </c>
      <c r="P232" t="s" s="1">
        <v>3384</v>
      </c>
    </row>
    <row r="233" spans="1:16">
      <c r="A233" t="n" s="4">
        <v>229</v>
      </c>
      <c r="B233" s="2">
        <f>HYPERLINK("https://my.zakupki.prom.ua/remote/dispatcher/state_purchase_view/33702326", "UA-2021-12-24-008036-c")</f>
        <v/>
      </c>
      <c r="C233" t="s" s="2">
        <v>3102</v>
      </c>
      <c r="D233" s="2">
        <f>HYPERLINK("https://my.zakupki.prom.ua/remote/dispatcher/state_contracting_view/12289339", "UA-2021-12-24-008036-c-c1")</f>
        <v/>
      </c>
      <c r="E233" t="s" s="1">
        <v>1307</v>
      </c>
      <c r="F233" t="s" s="1">
        <v>3002</v>
      </c>
      <c r="G233" t="s" s="1">
        <v>3050</v>
      </c>
      <c r="H233" t="s" s="1">
        <v>1574</v>
      </c>
      <c r="I233" t="s" s="1">
        <v>2178</v>
      </c>
      <c r="J233" t="s" s="1">
        <v>3203</v>
      </c>
      <c r="K233" t="s" s="1">
        <v>920</v>
      </c>
      <c r="L233" t="s" s="1">
        <v>1593</v>
      </c>
      <c r="M233" t="n" s="5">
        <v>1700.0</v>
      </c>
      <c r="N233" t="n" s="7">
        <v>44554.0</v>
      </c>
      <c r="O233" t="n" s="7">
        <v>44561.0</v>
      </c>
      <c r="P233" t="s" s="1">
        <v>3384</v>
      </c>
    </row>
    <row r="234" spans="1:16">
      <c r="A234" t="n" s="4">
        <v>230</v>
      </c>
      <c r="B234" s="2">
        <f>HYPERLINK("https://my.zakupki.prom.ua/remote/dispatcher/state_purchase_view/30154485", "UA-2021-09-23-004442-b")</f>
        <v/>
      </c>
      <c r="C234" t="s" s="2">
        <v>3102</v>
      </c>
      <c r="D234" s="2">
        <f>HYPERLINK("https://my.zakupki.prom.ua/remote/dispatcher/state_contracting_view/10571667", "UA-2021-09-23-004442-b-b1")</f>
        <v/>
      </c>
      <c r="E234" t="s" s="1">
        <v>1732</v>
      </c>
      <c r="F234" t="s" s="1">
        <v>2869</v>
      </c>
      <c r="G234" t="s" s="1">
        <v>2869</v>
      </c>
      <c r="H234" t="s" s="1">
        <v>1077</v>
      </c>
      <c r="I234" t="s" s="1">
        <v>2178</v>
      </c>
      <c r="J234" t="s" s="1">
        <v>3113</v>
      </c>
      <c r="K234" t="s" s="1">
        <v>816</v>
      </c>
      <c r="L234" t="s" s="1">
        <v>125</v>
      </c>
      <c r="M234" t="n" s="5">
        <v>117.9</v>
      </c>
      <c r="N234" t="n" s="7">
        <v>44462.0</v>
      </c>
      <c r="O234" t="n" s="7">
        <v>44561.0</v>
      </c>
      <c r="P234" t="s" s="1">
        <v>3384</v>
      </c>
    </row>
    <row r="235" spans="1:16">
      <c r="A235" t="n" s="4">
        <v>231</v>
      </c>
      <c r="B235" s="2">
        <f>HYPERLINK("https://my.zakupki.prom.ua/remote/dispatcher/state_purchase_view/27772345", "UA-2021-06-25-002087-c")</f>
        <v/>
      </c>
      <c r="C235" t="s" s="2">
        <v>3102</v>
      </c>
      <c r="D235" s="2">
        <f>HYPERLINK("https://my.zakupki.prom.ua/remote/dispatcher/state_contracting_view/9465690", "UA-2021-06-25-002087-c-c1")</f>
        <v/>
      </c>
      <c r="E235" t="s" s="1">
        <v>1474</v>
      </c>
      <c r="F235" t="s" s="1">
        <v>2234</v>
      </c>
      <c r="G235" t="s" s="1">
        <v>2234</v>
      </c>
      <c r="H235" t="s" s="1">
        <v>98</v>
      </c>
      <c r="I235" t="s" s="1">
        <v>2178</v>
      </c>
      <c r="J235" t="s" s="1">
        <v>3112</v>
      </c>
      <c r="K235" t="s" s="1">
        <v>802</v>
      </c>
      <c r="L235" t="s" s="1">
        <v>85</v>
      </c>
      <c r="M235" t="n" s="5">
        <v>430.6</v>
      </c>
      <c r="N235" t="n" s="7">
        <v>44372.0</v>
      </c>
      <c r="O235" t="n" s="7">
        <v>44561.0</v>
      </c>
      <c r="P235" t="s" s="1">
        <v>3384</v>
      </c>
    </row>
    <row r="236" spans="1:16">
      <c r="A236" t="n" s="4">
        <v>232</v>
      </c>
      <c r="B236" s="2">
        <f>HYPERLINK("https://my.zakupki.prom.ua/remote/dispatcher/state_purchase_view/27772064", "UA-2021-06-25-001984-c")</f>
        <v/>
      </c>
      <c r="C236" t="s" s="2">
        <v>3102</v>
      </c>
      <c r="D236" s="2">
        <f>HYPERLINK("https://my.zakupki.prom.ua/remote/dispatcher/state_contracting_view/9465657", "UA-2021-06-25-001984-c-c1")</f>
        <v/>
      </c>
      <c r="E236" t="s" s="1">
        <v>630</v>
      </c>
      <c r="F236" t="s" s="1">
        <v>2320</v>
      </c>
      <c r="G236" t="s" s="1">
        <v>2320</v>
      </c>
      <c r="H236" t="s" s="1">
        <v>302</v>
      </c>
      <c r="I236" t="s" s="1">
        <v>2178</v>
      </c>
      <c r="J236" t="s" s="1">
        <v>3112</v>
      </c>
      <c r="K236" t="s" s="1">
        <v>802</v>
      </c>
      <c r="L236" t="s" s="1">
        <v>80</v>
      </c>
      <c r="M236" t="n" s="5">
        <v>575.0</v>
      </c>
      <c r="N236" t="n" s="7">
        <v>44372.0</v>
      </c>
      <c r="O236" t="n" s="7">
        <v>44561.0</v>
      </c>
      <c r="P236" t="s" s="1">
        <v>3384</v>
      </c>
    </row>
    <row r="237" spans="1:16">
      <c r="A237" t="n" s="4">
        <v>233</v>
      </c>
      <c r="B237" s="2">
        <f>HYPERLINK("https://my.zakupki.prom.ua/remote/dispatcher/state_purchase_view/30287495", "UA-2021-09-28-001801-b")</f>
        <v/>
      </c>
      <c r="C237" t="s" s="2">
        <v>3102</v>
      </c>
      <c r="D237" s="2">
        <f>HYPERLINK("https://my.zakupki.prom.ua/remote/dispatcher/state_contracting_view/10632840", "UA-2021-09-28-001801-b-b1")</f>
        <v/>
      </c>
      <c r="E237" t="s" s="1">
        <v>1332</v>
      </c>
      <c r="F237" t="s" s="1">
        <v>2832</v>
      </c>
      <c r="G237" t="s" s="1">
        <v>2832</v>
      </c>
      <c r="H237" t="s" s="1">
        <v>1062</v>
      </c>
      <c r="I237" t="s" s="1">
        <v>2178</v>
      </c>
      <c r="J237" t="s" s="1">
        <v>2141</v>
      </c>
      <c r="K237" t="s" s="1">
        <v>438</v>
      </c>
      <c r="L237" t="s" s="1">
        <v>1477</v>
      </c>
      <c r="M237" t="n" s="5">
        <v>166.0</v>
      </c>
      <c r="N237" t="n" s="7">
        <v>44467.0</v>
      </c>
      <c r="O237" t="n" s="7">
        <v>44561.0</v>
      </c>
      <c r="P237" t="s" s="1">
        <v>3384</v>
      </c>
    </row>
    <row r="238" spans="1:16">
      <c r="A238" t="n" s="4">
        <v>234</v>
      </c>
      <c r="B238" s="2">
        <f>HYPERLINK("https://my.zakupki.prom.ua/remote/dispatcher/state_purchase_view/27903504", "UA-2021-07-02-000241-c")</f>
        <v/>
      </c>
      <c r="C238" t="s" s="2">
        <v>3102</v>
      </c>
      <c r="D238" s="2">
        <f>HYPERLINK("https://my.zakupki.prom.ua/remote/dispatcher/state_contracting_view/9521399", "UA-2021-07-02-000241-c-c1")</f>
        <v/>
      </c>
      <c r="E238" t="s" s="1">
        <v>1224</v>
      </c>
      <c r="F238" t="s" s="1">
        <v>2737</v>
      </c>
      <c r="G238" t="s" s="1">
        <v>2737</v>
      </c>
      <c r="H238" t="s" s="1">
        <v>871</v>
      </c>
      <c r="I238" t="s" s="1">
        <v>2178</v>
      </c>
      <c r="J238" t="s" s="1">
        <v>2151</v>
      </c>
      <c r="K238" t="s" s="1">
        <v>666</v>
      </c>
      <c r="L238" t="s" s="1">
        <v>1280</v>
      </c>
      <c r="M238" t="n" s="5">
        <v>273.0</v>
      </c>
      <c r="N238" t="n" s="7">
        <v>44378.0</v>
      </c>
      <c r="O238" t="n" s="7">
        <v>44561.0</v>
      </c>
      <c r="P238" t="s" s="1">
        <v>3384</v>
      </c>
    </row>
    <row r="239" spans="1:16">
      <c r="A239" t="n" s="4">
        <v>235</v>
      </c>
      <c r="B239" s="2">
        <f>HYPERLINK("https://my.zakupki.prom.ua/remote/dispatcher/state_purchase_view/29081818", "UA-2021-08-17-003909-a")</f>
        <v/>
      </c>
      <c r="C239" t="s" s="2">
        <v>3102</v>
      </c>
      <c r="D239" s="2">
        <f>HYPERLINK("https://my.zakupki.prom.ua/remote/dispatcher/state_contracting_view/10073685", "UA-2021-08-17-003909-a-a1")</f>
        <v/>
      </c>
      <c r="E239" t="s" s="1">
        <v>1550</v>
      </c>
      <c r="F239" t="s" s="1">
        <v>2749</v>
      </c>
      <c r="G239" t="s" s="1">
        <v>3504</v>
      </c>
      <c r="H239" t="s" s="1">
        <v>909</v>
      </c>
      <c r="I239" t="s" s="1">
        <v>2178</v>
      </c>
      <c r="J239" t="s" s="1">
        <v>2192</v>
      </c>
      <c r="K239" t="s" s="1">
        <v>679</v>
      </c>
      <c r="L239" t="s" s="1">
        <v>25</v>
      </c>
      <c r="M239" t="n" s="5">
        <v>40940.02</v>
      </c>
      <c r="N239" t="n" s="7">
        <v>44425.0</v>
      </c>
      <c r="O239" t="n" s="7">
        <v>44561.0</v>
      </c>
      <c r="P239" t="s" s="1">
        <v>3384</v>
      </c>
    </row>
    <row r="240" spans="1:16">
      <c r="A240" t="n" s="4">
        <v>236</v>
      </c>
      <c r="B240" s="2">
        <f>HYPERLINK("https://my.zakupki.prom.ua/remote/dispatcher/state_purchase_view/23358455", "UA-2021-01-28-000297-b")</f>
        <v/>
      </c>
      <c r="C240" t="s" s="2">
        <v>3102</v>
      </c>
      <c r="D240" s="2">
        <f>HYPERLINK("https://my.zakupki.prom.ua/remote/dispatcher/state_contracting_view/7377736", "UA-2021-01-28-000297-b-b1")</f>
        <v/>
      </c>
      <c r="E240" t="s" s="1">
        <v>111</v>
      </c>
      <c r="F240" t="s" s="1">
        <v>2386</v>
      </c>
      <c r="G240" t="s" s="1">
        <v>3390</v>
      </c>
      <c r="H240" t="s" s="1">
        <v>536</v>
      </c>
      <c r="I240" t="s" s="1">
        <v>2178</v>
      </c>
      <c r="J240" t="s" s="1">
        <v>3306</v>
      </c>
      <c r="K240" t="s" s="1">
        <v>996</v>
      </c>
      <c r="L240" t="s" s="1">
        <v>3066</v>
      </c>
      <c r="M240" t="n" s="5">
        <v>4650.0</v>
      </c>
      <c r="N240" t="n" s="7">
        <v>44224.0</v>
      </c>
      <c r="O240" t="n" s="7">
        <v>44561.0</v>
      </c>
      <c r="P240" t="s" s="1">
        <v>3384</v>
      </c>
    </row>
    <row r="241" spans="1:16">
      <c r="A241" t="n" s="4">
        <v>237</v>
      </c>
      <c r="B241" s="2">
        <f>HYPERLINK("https://my.zakupki.prom.ua/remote/dispatcher/state_purchase_view/22934880", "UA-2021-01-13-002374-a")</f>
        <v/>
      </c>
      <c r="C241" t="s" s="2">
        <v>3102</v>
      </c>
      <c r="D241" s="2">
        <f>HYPERLINK("https://my.zakupki.prom.ua/remote/dispatcher/state_contracting_view/7214825", "UA-2021-01-13-002374-a-a1")</f>
        <v/>
      </c>
      <c r="E241" t="s" s="1">
        <v>641</v>
      </c>
      <c r="F241" t="s" s="1">
        <v>2330</v>
      </c>
      <c r="G241" t="s" s="1">
        <v>2330</v>
      </c>
      <c r="H241" t="s" s="1">
        <v>360</v>
      </c>
      <c r="I241" t="s" s="1">
        <v>2178</v>
      </c>
      <c r="J241" t="s" s="1">
        <v>3112</v>
      </c>
      <c r="K241" t="s" s="1">
        <v>802</v>
      </c>
      <c r="L241" t="s" s="1">
        <v>308</v>
      </c>
      <c r="M241" t="n" s="5">
        <v>517.5</v>
      </c>
      <c r="N241" t="n" s="7">
        <v>44209.0</v>
      </c>
      <c r="O241" t="n" s="7">
        <v>44561.0</v>
      </c>
      <c r="P241" t="s" s="1">
        <v>3384</v>
      </c>
    </row>
    <row r="242" spans="1:16">
      <c r="A242" t="n" s="4">
        <v>238</v>
      </c>
      <c r="B242" s="2">
        <f>HYPERLINK("https://my.zakupki.prom.ua/remote/dispatcher/state_purchase_view/22928171", "UA-2021-01-13-000159-a")</f>
        <v/>
      </c>
      <c r="C242" t="s" s="2">
        <v>3102</v>
      </c>
      <c r="D242" s="2">
        <f>HYPERLINK("https://my.zakupki.prom.ua/remote/dispatcher/state_contracting_view/7212590", "UA-2021-01-13-000159-a-a1")</f>
        <v/>
      </c>
      <c r="E242" t="s" s="1">
        <v>1206</v>
      </c>
      <c r="F242" t="s" s="1">
        <v>2805</v>
      </c>
      <c r="G242" t="s" s="1">
        <v>2805</v>
      </c>
      <c r="H242" t="s" s="1">
        <v>1022</v>
      </c>
      <c r="I242" t="s" s="1">
        <v>2178</v>
      </c>
      <c r="J242" t="s" s="1">
        <v>3112</v>
      </c>
      <c r="K242" t="s" s="1">
        <v>802</v>
      </c>
      <c r="L242" t="s" s="1">
        <v>114</v>
      </c>
      <c r="M242" t="n" s="5">
        <v>82.0</v>
      </c>
      <c r="N242" t="n" s="7">
        <v>44209.0</v>
      </c>
      <c r="O242" t="n" s="7">
        <v>44561.0</v>
      </c>
      <c r="P242" t="s" s="1">
        <v>3384</v>
      </c>
    </row>
    <row r="243" spans="1:16">
      <c r="A243" t="n" s="4">
        <v>239</v>
      </c>
      <c r="B243" s="2">
        <f>HYPERLINK("https://my.zakupki.prom.ua/remote/dispatcher/state_purchase_view/22893768", "UA-2021-01-11-000393-a")</f>
        <v/>
      </c>
      <c r="C243" t="s" s="2">
        <v>3102</v>
      </c>
      <c r="D243" s="2">
        <f>HYPERLINK("https://my.zakupki.prom.ua/remote/dispatcher/state_contracting_view/7202116", "UA-2021-01-11-000393-a-a1")</f>
        <v/>
      </c>
      <c r="E243" t="s" s="1">
        <v>1781</v>
      </c>
      <c r="F243" t="s" s="1">
        <v>2932</v>
      </c>
      <c r="G243" t="s" s="1">
        <v>2932</v>
      </c>
      <c r="H243" t="s" s="1">
        <v>1317</v>
      </c>
      <c r="I243" t="s" s="1">
        <v>2178</v>
      </c>
      <c r="J243" t="s" s="1">
        <v>3271</v>
      </c>
      <c r="K243" t="s" s="1">
        <v>694</v>
      </c>
      <c r="L243" t="s" s="1">
        <v>415</v>
      </c>
      <c r="M243" t="n" s="5">
        <v>49632.0</v>
      </c>
      <c r="N243" t="n" s="7">
        <v>44207.0</v>
      </c>
      <c r="O243" t="n" s="7">
        <v>44561.0</v>
      </c>
      <c r="P243" t="s" s="1">
        <v>3384</v>
      </c>
    </row>
    <row r="244" spans="1:16">
      <c r="A244" t="n" s="4">
        <v>240</v>
      </c>
      <c r="B244" s="2">
        <f>HYPERLINK("https://my.zakupki.prom.ua/remote/dispatcher/state_purchase_view/30782572", "UA-2021-10-13-011261-b")</f>
        <v/>
      </c>
      <c r="C244" t="s" s="2">
        <v>3102</v>
      </c>
      <c r="D244" s="2">
        <f>HYPERLINK("https://my.zakupki.prom.ua/remote/dispatcher/state_contracting_view/10860995", "UA-2021-10-13-011261-b-b1")</f>
        <v/>
      </c>
      <c r="E244" t="s" s="1">
        <v>1302</v>
      </c>
      <c r="F244" t="s" s="1">
        <v>2600</v>
      </c>
      <c r="G244" t="s" s="1">
        <v>2126</v>
      </c>
      <c r="H244" t="s" s="1">
        <v>774</v>
      </c>
      <c r="I244" t="s" s="1">
        <v>2178</v>
      </c>
      <c r="J244" t="s" s="1">
        <v>3135</v>
      </c>
      <c r="K244" t="s" s="1">
        <v>658</v>
      </c>
      <c r="L244" t="s" s="1">
        <v>1015</v>
      </c>
      <c r="M244" t="n" s="5">
        <v>53105.5</v>
      </c>
      <c r="N244" t="n" s="7">
        <v>44482.0</v>
      </c>
      <c r="O244" t="n" s="7">
        <v>44561.0</v>
      </c>
      <c r="P244" t="s" s="1">
        <v>3384</v>
      </c>
    </row>
    <row r="245" spans="1:16">
      <c r="A245" t="n" s="4">
        <v>241</v>
      </c>
      <c r="B245" s="2">
        <f>HYPERLINK("https://my.zakupki.prom.ua/remote/dispatcher/state_purchase_view/24763356", "UA-2021-03-10-010683-b")</f>
        <v/>
      </c>
      <c r="C245" t="s" s="2">
        <v>3102</v>
      </c>
      <c r="D245" s="2">
        <f>HYPERLINK("https://my.zakupki.prom.ua/remote/dispatcher/state_contracting_view/8023215", "UA-2021-03-10-010683-b-b1")</f>
        <v/>
      </c>
      <c r="E245" t="s" s="1">
        <v>966</v>
      </c>
      <c r="F245" t="s" s="1">
        <v>2641</v>
      </c>
      <c r="G245" t="s" s="1">
        <v>3436</v>
      </c>
      <c r="H245" t="s" s="1">
        <v>774</v>
      </c>
      <c r="I245" t="s" s="1">
        <v>2178</v>
      </c>
      <c r="J245" t="s" s="1">
        <v>3261</v>
      </c>
      <c r="K245" t="s" s="1">
        <v>1012</v>
      </c>
      <c r="L245" t="s" s="1">
        <v>297</v>
      </c>
      <c r="M245" t="n" s="5">
        <v>170692.0</v>
      </c>
      <c r="N245" t="n" s="7">
        <v>44265.0</v>
      </c>
      <c r="O245" t="n" s="7">
        <v>44561.0</v>
      </c>
      <c r="P245" t="s" s="1">
        <v>3384</v>
      </c>
    </row>
    <row r="246" spans="1:16">
      <c r="A246" t="n" s="4">
        <v>242</v>
      </c>
      <c r="B246" s="2">
        <f>HYPERLINK("https://my.zakupki.prom.ua/remote/dispatcher/state_purchase_view/25020162", "UA-2021-03-18-002761-a")</f>
        <v/>
      </c>
      <c r="C246" t="s" s="2">
        <v>3102</v>
      </c>
      <c r="D246" s="2">
        <f>HYPERLINK("https://my.zakupki.prom.ua/remote/dispatcher/state_contracting_view/8146753", "UA-2021-03-18-002761-a-a1")</f>
        <v/>
      </c>
      <c r="E246" t="s" s="1">
        <v>1754</v>
      </c>
      <c r="F246" t="s" s="1">
        <v>2481</v>
      </c>
      <c r="G246" t="s" s="1">
        <v>3379</v>
      </c>
      <c r="H246" t="s" s="1">
        <v>758</v>
      </c>
      <c r="I246" t="s" s="1">
        <v>2178</v>
      </c>
      <c r="J246" t="s" s="1">
        <v>3251</v>
      </c>
      <c r="K246" t="s" s="1">
        <v>992</v>
      </c>
      <c r="L246" t="s" s="1">
        <v>142</v>
      </c>
      <c r="M246" t="n" s="5">
        <v>15000.0</v>
      </c>
      <c r="N246" t="n" s="7">
        <v>44273.0</v>
      </c>
      <c r="O246" t="n" s="7">
        <v>44561.0</v>
      </c>
      <c r="P246" t="s" s="1">
        <v>3384</v>
      </c>
    </row>
    <row r="247" spans="1:16">
      <c r="A247" t="n" s="4">
        <v>243</v>
      </c>
      <c r="B247" s="2">
        <f>HYPERLINK("https://my.zakupki.prom.ua/remote/dispatcher/state_purchase_view/30155624", "UA-2021-09-23-004711-b")</f>
        <v/>
      </c>
      <c r="C247" t="s" s="2">
        <v>3102</v>
      </c>
      <c r="D247" s="2">
        <f>HYPERLINK("https://my.zakupki.prom.ua/remote/dispatcher/state_contracting_view/10571749", "UA-2021-09-23-004711-b-b1")</f>
        <v/>
      </c>
      <c r="E247" t="s" s="1">
        <v>561</v>
      </c>
      <c r="F247" t="s" s="1">
        <v>2866</v>
      </c>
      <c r="G247" t="s" s="1">
        <v>2866</v>
      </c>
      <c r="H247" t="s" s="1">
        <v>1076</v>
      </c>
      <c r="I247" t="s" s="1">
        <v>2178</v>
      </c>
      <c r="J247" t="s" s="1">
        <v>3113</v>
      </c>
      <c r="K247" t="s" s="1">
        <v>816</v>
      </c>
      <c r="L247" t="s" s="1">
        <v>165</v>
      </c>
      <c r="M247" t="n" s="5">
        <v>232.0</v>
      </c>
      <c r="N247" t="n" s="7">
        <v>44462.0</v>
      </c>
      <c r="O247" t="n" s="7">
        <v>44561.0</v>
      </c>
      <c r="P247" t="s" s="1">
        <v>3384</v>
      </c>
    </row>
    <row r="248" spans="1:16">
      <c r="A248" t="n" s="4">
        <v>244</v>
      </c>
      <c r="B248" s="2">
        <f>HYPERLINK("https://my.zakupki.prom.ua/remote/dispatcher/state_purchase_view/31105913", "UA-2021-10-26-001766-b")</f>
        <v/>
      </c>
      <c r="C248" t="s" s="2">
        <v>3102</v>
      </c>
      <c r="D248" s="2">
        <f>HYPERLINK("https://my.zakupki.prom.ua/remote/dispatcher/state_contracting_view/11016437", "UA-2021-10-26-001766-b-b1")</f>
        <v/>
      </c>
      <c r="E248" t="s" s="1">
        <v>1851</v>
      </c>
      <c r="F248" t="s" s="1">
        <v>2735</v>
      </c>
      <c r="G248" t="s" s="1">
        <v>2735</v>
      </c>
      <c r="H248" t="s" s="1">
        <v>871</v>
      </c>
      <c r="I248" t="s" s="1">
        <v>2178</v>
      </c>
      <c r="J248" t="s" s="1">
        <v>2148</v>
      </c>
      <c r="K248" t="s" s="1">
        <v>678</v>
      </c>
      <c r="L248" t="s" s="1">
        <v>1522</v>
      </c>
      <c r="M248" t="n" s="5">
        <v>262.0</v>
      </c>
      <c r="N248" t="n" s="7">
        <v>44495.0</v>
      </c>
      <c r="O248" t="n" s="7">
        <v>44561.0</v>
      </c>
      <c r="P248" t="s" s="1">
        <v>3384</v>
      </c>
    </row>
    <row r="249" spans="1:16">
      <c r="A249" t="n" s="4">
        <v>245</v>
      </c>
      <c r="B249" s="2">
        <f>HYPERLINK("https://my.zakupki.prom.ua/remote/dispatcher/state_purchase_view/30966983", "UA-2021-10-21-009650-b")</f>
        <v/>
      </c>
      <c r="C249" t="s" s="2">
        <v>3102</v>
      </c>
      <c r="D249" s="2">
        <f>HYPERLINK("https://my.zakupki.prom.ua/remote/dispatcher/state_contracting_view/10946625", "UA-2021-10-21-009650-b-b1")</f>
        <v/>
      </c>
      <c r="E249" t="s" s="1">
        <v>2068</v>
      </c>
      <c r="F249" t="s" s="1">
        <v>2316</v>
      </c>
      <c r="G249" t="s" s="1">
        <v>2316</v>
      </c>
      <c r="H249" t="s" s="1">
        <v>279</v>
      </c>
      <c r="I249" t="s" s="1">
        <v>2178</v>
      </c>
      <c r="J249" t="s" s="1">
        <v>3356</v>
      </c>
      <c r="K249" t="s" s="1">
        <v>814</v>
      </c>
      <c r="L249" t="s" s="1">
        <v>1517</v>
      </c>
      <c r="M249" t="n" s="5">
        <v>3000.0</v>
      </c>
      <c r="N249" t="n" s="7">
        <v>44490.0</v>
      </c>
      <c r="O249" t="n" s="7">
        <v>44561.0</v>
      </c>
      <c r="P249" t="s" s="1">
        <v>3384</v>
      </c>
    </row>
    <row r="250" spans="1:16">
      <c r="A250" t="n" s="4">
        <v>246</v>
      </c>
      <c r="B250" s="2">
        <f>HYPERLINK("https://my.zakupki.prom.ua/remote/dispatcher/state_purchase_view/30964407", "UA-2021-10-21-008729-b")</f>
        <v/>
      </c>
      <c r="C250" t="s" s="2">
        <v>3102</v>
      </c>
      <c r="D250" s="2">
        <f>HYPERLINK("https://my.zakupki.prom.ua/remote/dispatcher/state_contracting_view/10944897", "UA-2021-10-21-008729-b-b1")</f>
        <v/>
      </c>
      <c r="E250" t="s" s="1">
        <v>881</v>
      </c>
      <c r="F250" t="s" s="1">
        <v>2722</v>
      </c>
      <c r="G250" t="s" s="1">
        <v>2722</v>
      </c>
      <c r="H250" t="s" s="1">
        <v>788</v>
      </c>
      <c r="I250" t="s" s="1">
        <v>2178</v>
      </c>
      <c r="J250" t="s" s="1">
        <v>3111</v>
      </c>
      <c r="K250" t="s" s="1">
        <v>513</v>
      </c>
      <c r="L250" t="s" s="1">
        <v>1515</v>
      </c>
      <c r="M250" t="n" s="5">
        <v>15000.0</v>
      </c>
      <c r="N250" t="n" s="7">
        <v>44490.0</v>
      </c>
      <c r="O250" t="n" s="7">
        <v>44561.0</v>
      </c>
      <c r="P250" t="s" s="1">
        <v>3384</v>
      </c>
    </row>
    <row r="251" spans="1:16">
      <c r="A251" t="n" s="4">
        <v>247</v>
      </c>
      <c r="B251" s="2">
        <f>HYPERLINK("https://my.zakupki.prom.ua/remote/dispatcher/state_purchase_view/29529823", "UA-2021-09-03-007825-c")</f>
        <v/>
      </c>
      <c r="C251" t="s" s="2">
        <v>3102</v>
      </c>
      <c r="D251" s="2">
        <f>HYPERLINK("https://my.zakupki.prom.ua/remote/dispatcher/state_contracting_view/10285424", "UA-2021-09-03-007825-c-c1")</f>
        <v/>
      </c>
      <c r="E251" t="s" s="1">
        <v>1873</v>
      </c>
      <c r="F251" t="s" s="1">
        <v>2469</v>
      </c>
      <c r="G251" t="s" s="1">
        <v>1796</v>
      </c>
      <c r="H251" t="s" s="1">
        <v>728</v>
      </c>
      <c r="I251" t="s" s="1">
        <v>2178</v>
      </c>
      <c r="J251" t="s" s="1">
        <v>2145</v>
      </c>
      <c r="K251" t="s" s="1">
        <v>801</v>
      </c>
      <c r="L251" t="s" s="1">
        <v>971</v>
      </c>
      <c r="M251" t="n" s="5">
        <v>29313.0</v>
      </c>
      <c r="N251" t="n" s="7">
        <v>44442.0</v>
      </c>
      <c r="O251" t="n" s="7">
        <v>44561.0</v>
      </c>
      <c r="P251" t="s" s="1">
        <v>3384</v>
      </c>
    </row>
    <row r="252" spans="1:16">
      <c r="A252" t="n" s="4">
        <v>248</v>
      </c>
      <c r="B252" s="2">
        <f>HYPERLINK("https://my.zakupki.prom.ua/remote/dispatcher/state_purchase_view/27262354", "UA-2021-06-08-003100-b")</f>
        <v/>
      </c>
      <c r="C252" t="s" s="2">
        <v>3102</v>
      </c>
      <c r="D252" s="2">
        <f>HYPERLINK("https://my.zakupki.prom.ua/remote/dispatcher/state_contracting_view/9216719", "UA-2021-06-08-003100-b-b1")</f>
        <v/>
      </c>
      <c r="E252" t="s" s="1">
        <v>160</v>
      </c>
      <c r="F252" t="s" s="1">
        <v>2970</v>
      </c>
      <c r="G252" t="s" s="1">
        <v>2970</v>
      </c>
      <c r="H252" t="s" s="1">
        <v>1453</v>
      </c>
      <c r="I252" t="s" s="1">
        <v>2178</v>
      </c>
      <c r="J252" t="s" s="1">
        <v>3299</v>
      </c>
      <c r="K252" t="s" s="1">
        <v>838</v>
      </c>
      <c r="L252" t="s" s="1">
        <v>1267</v>
      </c>
      <c r="M252" t="n" s="5">
        <v>3121.43</v>
      </c>
      <c r="N252" t="n" s="7">
        <v>44355.0</v>
      </c>
      <c r="O252" t="n" s="7">
        <v>44561.0</v>
      </c>
      <c r="P252" t="s" s="1">
        <v>3384</v>
      </c>
    </row>
    <row r="253" spans="1:16">
      <c r="A253" t="n" s="4">
        <v>249</v>
      </c>
      <c r="B253" s="2">
        <f>HYPERLINK("https://my.zakupki.prom.ua/remote/dispatcher/state_purchase_view/29428917", "UA-2021-09-01-000540-a")</f>
        <v/>
      </c>
      <c r="C253" t="s" s="2">
        <v>3102</v>
      </c>
      <c r="D253" s="2">
        <f>HYPERLINK("https://my.zakupki.prom.ua/remote/dispatcher/state_contracting_view/10236304", "UA-2021-09-01-000540-a-a1")</f>
        <v/>
      </c>
      <c r="E253" t="s" s="1">
        <v>1835</v>
      </c>
      <c r="F253" t="s" s="1">
        <v>2788</v>
      </c>
      <c r="G253" t="s" s="1">
        <v>2788</v>
      </c>
      <c r="H253" t="s" s="1">
        <v>934</v>
      </c>
      <c r="I253" t="s" s="1">
        <v>2178</v>
      </c>
      <c r="J253" t="s" s="1">
        <v>3356</v>
      </c>
      <c r="K253" t="s" s="1">
        <v>814</v>
      </c>
      <c r="L253" t="s" s="1">
        <v>1380</v>
      </c>
      <c r="M253" t="n" s="5">
        <v>858.0</v>
      </c>
      <c r="N253" t="n" s="7">
        <v>44440.0</v>
      </c>
      <c r="O253" t="n" s="7">
        <v>44561.0</v>
      </c>
      <c r="P253" t="s" s="1">
        <v>3384</v>
      </c>
    </row>
    <row r="254" spans="1:16">
      <c r="A254" t="n" s="4">
        <v>250</v>
      </c>
      <c r="B254" s="2">
        <f>HYPERLINK("https://my.zakupki.prom.ua/remote/dispatcher/state_purchase_view/29434331", "UA-2021-09-01-002127-a")</f>
        <v/>
      </c>
      <c r="C254" t="s" s="2">
        <v>3102</v>
      </c>
      <c r="D254" s="2">
        <f>HYPERLINK("https://my.zakupki.prom.ua/remote/dispatcher/state_contracting_view/10238769", "UA-2021-09-01-002127-a-a1")</f>
        <v/>
      </c>
      <c r="E254" t="s" s="1">
        <v>1733</v>
      </c>
      <c r="F254" t="s" s="1">
        <v>2439</v>
      </c>
      <c r="G254" t="s" s="1">
        <v>2439</v>
      </c>
      <c r="H254" t="s" s="1">
        <v>703</v>
      </c>
      <c r="I254" t="s" s="1">
        <v>2178</v>
      </c>
      <c r="J254" t="s" s="1">
        <v>3309</v>
      </c>
      <c r="K254" t="s" s="1">
        <v>611</v>
      </c>
      <c r="L254" t="s" s="1">
        <v>3196</v>
      </c>
      <c r="M254" t="n" s="5">
        <v>228.0</v>
      </c>
      <c r="N254" t="n" s="7">
        <v>44440.0</v>
      </c>
      <c r="O254" t="n" s="7">
        <v>44561.0</v>
      </c>
      <c r="P254" t="s" s="1">
        <v>3384</v>
      </c>
    </row>
    <row r="255" spans="1:16">
      <c r="A255" t="n" s="4">
        <v>251</v>
      </c>
      <c r="B255" s="2">
        <f>HYPERLINK("https://my.zakupki.prom.ua/remote/dispatcher/state_purchase_view/24102739", "UA-2021-02-17-007049-a")</f>
        <v/>
      </c>
      <c r="C255" t="s" s="2">
        <v>3102</v>
      </c>
      <c r="D255" s="2">
        <f>HYPERLINK("https://my.zakupki.prom.ua/remote/dispatcher/state_contracting_view/7718413", "UA-2021-02-17-007049-a-a1")</f>
        <v/>
      </c>
      <c r="E255" t="s" s="1">
        <v>1756</v>
      </c>
      <c r="F255" t="s" s="1">
        <v>2733</v>
      </c>
      <c r="G255" t="s" s="1">
        <v>2733</v>
      </c>
      <c r="H255" t="s" s="1">
        <v>813</v>
      </c>
      <c r="I255" t="s" s="1">
        <v>2178</v>
      </c>
      <c r="J255" t="s" s="1">
        <v>3083</v>
      </c>
      <c r="K255" t="s" s="1">
        <v>617</v>
      </c>
      <c r="L255" t="s" s="1">
        <v>141</v>
      </c>
      <c r="M255" t="n" s="5">
        <v>4350.0</v>
      </c>
      <c r="N255" t="n" s="7">
        <v>44244.0</v>
      </c>
      <c r="O255" t="n" s="7">
        <v>44561.0</v>
      </c>
      <c r="P255" t="s" s="1">
        <v>3384</v>
      </c>
    </row>
    <row r="256" spans="1:16">
      <c r="A256" t="n" s="4">
        <v>252</v>
      </c>
      <c r="B256" s="2">
        <f>HYPERLINK("https://my.zakupki.prom.ua/remote/dispatcher/state_purchase_view/24350111", "UA-2021-02-24-007087-b")</f>
        <v/>
      </c>
      <c r="C256" t="s" s="2">
        <v>3102</v>
      </c>
      <c r="D256" s="2">
        <f>HYPERLINK("https://my.zakupki.prom.ua/remote/dispatcher/state_contracting_view/7826687", "UA-2021-02-24-007087-b-b1")</f>
        <v/>
      </c>
      <c r="E256" t="s" s="1">
        <v>943</v>
      </c>
      <c r="F256" t="s" s="1">
        <v>2772</v>
      </c>
      <c r="G256" t="s" s="1">
        <v>2772</v>
      </c>
      <c r="H256" t="s" s="1">
        <v>921</v>
      </c>
      <c r="I256" t="s" s="1">
        <v>2178</v>
      </c>
      <c r="J256" t="s" s="1">
        <v>3286</v>
      </c>
      <c r="K256" t="s" s="1">
        <v>820</v>
      </c>
      <c r="L256" t="s" s="1">
        <v>195</v>
      </c>
      <c r="M256" t="n" s="5">
        <v>3638.0</v>
      </c>
      <c r="N256" t="n" s="7">
        <v>44251.0</v>
      </c>
      <c r="O256" t="n" s="7">
        <v>44561.0</v>
      </c>
      <c r="P256" t="s" s="1">
        <v>3384</v>
      </c>
    </row>
    <row r="257" spans="1:16">
      <c r="A257" t="n" s="4">
        <v>253</v>
      </c>
      <c r="B257" s="2">
        <f>HYPERLINK("https://my.zakupki.prom.ua/remote/dispatcher/state_purchase_view/22863071", "UA-2021-01-05-001377-c")</f>
        <v/>
      </c>
      <c r="C257" t="s" s="2">
        <v>3102</v>
      </c>
      <c r="D257" s="2">
        <f>HYPERLINK("https://my.zakupki.prom.ua/remote/dispatcher/state_contracting_view/7191400", "UA-2021-01-05-001377-c-c1")</f>
        <v/>
      </c>
      <c r="E257" t="s" s="1">
        <v>1878</v>
      </c>
      <c r="F257" t="s" s="1">
        <v>3015</v>
      </c>
      <c r="G257" t="s" s="1">
        <v>3015</v>
      </c>
      <c r="H257" t="s" s="1">
        <v>1632</v>
      </c>
      <c r="I257" t="s" s="1">
        <v>2178</v>
      </c>
      <c r="J257" t="s" s="1">
        <v>3257</v>
      </c>
      <c r="K257" t="s" s="1">
        <v>912</v>
      </c>
      <c r="L257" t="s" s="1">
        <v>408</v>
      </c>
      <c r="M257" t="n" s="5">
        <v>550000.0</v>
      </c>
      <c r="N257" t="n" s="7">
        <v>44200.0</v>
      </c>
      <c r="O257" t="n" s="7">
        <v>44561.0</v>
      </c>
      <c r="P257" t="s" s="1">
        <v>3384</v>
      </c>
    </row>
    <row r="258" spans="1:16">
      <c r="A258" t="n" s="4">
        <v>254</v>
      </c>
      <c r="B258" s="2">
        <f>HYPERLINK("https://my.zakupki.prom.ua/remote/dispatcher/state_purchase_view/26184033", "UA-2021-04-27-004307-a")</f>
        <v/>
      </c>
      <c r="C258" t="s" s="2">
        <v>3102</v>
      </c>
      <c r="D258" s="2">
        <f>HYPERLINK("https://my.zakupki.prom.ua/remote/dispatcher/state_contracting_view/8702743", "UA-2021-04-27-004307-a-a1")</f>
        <v/>
      </c>
      <c r="E258" t="s" s="1">
        <v>383</v>
      </c>
      <c r="F258" t="s" s="1">
        <v>2962</v>
      </c>
      <c r="G258" t="s" s="1">
        <v>2962</v>
      </c>
      <c r="H258" t="s" s="1">
        <v>1450</v>
      </c>
      <c r="I258" t="s" s="1">
        <v>2178</v>
      </c>
      <c r="J258" t="s" s="1">
        <v>2134</v>
      </c>
      <c r="K258" t="s" s="1">
        <v>370</v>
      </c>
      <c r="L258" t="s" s="1">
        <v>12</v>
      </c>
      <c r="M258" t="n" s="5">
        <v>2612.0</v>
      </c>
      <c r="N258" t="n" s="7">
        <v>44313.0</v>
      </c>
      <c r="O258" t="n" s="7">
        <v>44561.0</v>
      </c>
      <c r="P258" t="s" s="1">
        <v>3384</v>
      </c>
    </row>
    <row r="259" spans="1:16">
      <c r="A259" t="n" s="4">
        <v>255</v>
      </c>
      <c r="B259" s="2">
        <f>HYPERLINK("https://my.zakupki.prom.ua/remote/dispatcher/state_purchase_view/26088057", "UA-2021-04-23-000895-a")</f>
        <v/>
      </c>
      <c r="C259" t="s" s="2">
        <v>3102</v>
      </c>
      <c r="D259" s="2">
        <f>HYPERLINK("https://my.zakupki.prom.ua/remote/dispatcher/state_contracting_view/8655735", "UA-2021-04-23-000895-a-a1")</f>
        <v/>
      </c>
      <c r="E259" t="s" s="1">
        <v>2032</v>
      </c>
      <c r="F259" t="s" s="1">
        <v>2540</v>
      </c>
      <c r="G259" t="s" s="1">
        <v>3536</v>
      </c>
      <c r="H259" t="s" s="1">
        <v>759</v>
      </c>
      <c r="I259" t="s" s="1">
        <v>2178</v>
      </c>
      <c r="J259" t="s" s="1">
        <v>3277</v>
      </c>
      <c r="K259" t="s" s="1">
        <v>519</v>
      </c>
      <c r="L259" t="s" s="1">
        <v>1039</v>
      </c>
      <c r="M259" t="n" s="5">
        <v>2575.0</v>
      </c>
      <c r="N259" t="n" s="7">
        <v>44308.0</v>
      </c>
      <c r="O259" t="n" s="7">
        <v>44561.0</v>
      </c>
      <c r="P259" t="s" s="1">
        <v>3384</v>
      </c>
    </row>
    <row r="260" spans="1:16">
      <c r="A260" t="n" s="4">
        <v>256</v>
      </c>
      <c r="B260" s="2">
        <f>HYPERLINK("https://my.zakupki.prom.ua/remote/dispatcher/state_purchase_view/26046715", "UA-2021-04-22-000992-c")</f>
        <v/>
      </c>
      <c r="C260" t="s" s="2">
        <v>3102</v>
      </c>
      <c r="D260" s="2">
        <f>HYPERLINK("https://my.zakupki.prom.ua/remote/dispatcher/state_contracting_view/8635843", "UA-2021-04-22-000992-c-c1")</f>
        <v/>
      </c>
      <c r="E260" t="s" s="1">
        <v>1825</v>
      </c>
      <c r="F260" t="s" s="1">
        <v>2285</v>
      </c>
      <c r="G260" t="s" s="1">
        <v>2285</v>
      </c>
      <c r="H260" t="s" s="1">
        <v>266</v>
      </c>
      <c r="I260" t="s" s="1">
        <v>2178</v>
      </c>
      <c r="J260" t="s" s="1">
        <v>3356</v>
      </c>
      <c r="K260" t="s" s="1">
        <v>814</v>
      </c>
      <c r="L260" t="s" s="1">
        <v>1011</v>
      </c>
      <c r="M260" t="n" s="5">
        <v>8800.0</v>
      </c>
      <c r="N260" t="n" s="7">
        <v>44306.0</v>
      </c>
      <c r="O260" t="n" s="7">
        <v>44561.0</v>
      </c>
      <c r="P260" t="s" s="1">
        <v>3384</v>
      </c>
    </row>
    <row r="261" spans="1:16">
      <c r="A261" t="n" s="4">
        <v>257</v>
      </c>
      <c r="B261" s="2">
        <f>HYPERLINK("https://my.zakupki.prom.ua/remote/dispatcher/state_purchase_view/26275342", "UA-2021-04-30-000160-a")</f>
        <v/>
      </c>
      <c r="C261" t="s" s="2">
        <v>3102</v>
      </c>
      <c r="D261" s="2">
        <f>HYPERLINK("https://my.zakupki.prom.ua/remote/dispatcher/state_contracting_view/8746410", "UA-2021-04-30-000160-a-a1")</f>
        <v/>
      </c>
      <c r="E261" t="s" s="1">
        <v>2022</v>
      </c>
      <c r="F261" t="s" s="1">
        <v>2442</v>
      </c>
      <c r="G261" t="s" s="1">
        <v>2442</v>
      </c>
      <c r="H261" t="s" s="1">
        <v>706</v>
      </c>
      <c r="I261" t="s" s="1">
        <v>2178</v>
      </c>
      <c r="J261" t="s" s="1">
        <v>3112</v>
      </c>
      <c r="K261" t="s" s="1">
        <v>802</v>
      </c>
      <c r="L261" t="s" s="1">
        <v>834</v>
      </c>
      <c r="M261" t="n" s="5">
        <v>679.0</v>
      </c>
      <c r="N261" t="n" s="7">
        <v>44315.0</v>
      </c>
      <c r="O261" t="n" s="7">
        <v>44561.0</v>
      </c>
      <c r="P261" t="s" s="1">
        <v>3384</v>
      </c>
    </row>
    <row r="262" spans="1:16">
      <c r="A262" t="n" s="4">
        <v>258</v>
      </c>
      <c r="B262" s="2">
        <f>HYPERLINK("https://my.zakupki.prom.ua/remote/dispatcher/state_purchase_view/26258301", "UA-2021-04-29-005054-c")</f>
        <v/>
      </c>
      <c r="C262" t="s" s="2">
        <v>3102</v>
      </c>
      <c r="D262" s="2">
        <f>HYPERLINK("https://my.zakupki.prom.ua/remote/dispatcher/state_contracting_view/8738913", "UA-2021-04-29-005054-c-c1")</f>
        <v/>
      </c>
      <c r="E262" t="s" s="1">
        <v>2014</v>
      </c>
      <c r="F262" t="s" s="1">
        <v>2457</v>
      </c>
      <c r="G262" t="s" s="1">
        <v>2457</v>
      </c>
      <c r="H262" t="s" s="1">
        <v>708</v>
      </c>
      <c r="I262" t="s" s="1">
        <v>2178</v>
      </c>
      <c r="J262" t="s" s="1">
        <v>3112</v>
      </c>
      <c r="K262" t="s" s="1">
        <v>802</v>
      </c>
      <c r="L262" t="s" s="1">
        <v>572</v>
      </c>
      <c r="M262" t="n" s="5">
        <v>245.7</v>
      </c>
      <c r="N262" t="n" s="7">
        <v>44315.0</v>
      </c>
      <c r="O262" t="n" s="7">
        <v>44561.0</v>
      </c>
      <c r="P262" t="s" s="1">
        <v>3384</v>
      </c>
    </row>
    <row r="263" spans="1:16">
      <c r="A263" t="n" s="4">
        <v>259</v>
      </c>
      <c r="B263" s="2">
        <f>HYPERLINK("https://my.zakupki.prom.ua/remote/dispatcher/state_purchase_view/25636120", "UA-2021-04-08-002541-b")</f>
        <v/>
      </c>
      <c r="C263" t="s" s="2">
        <v>3102</v>
      </c>
      <c r="D263" s="2">
        <f>HYPERLINK("https://my.zakupki.prom.ua/remote/dispatcher/state_contracting_view/8443644", "UA-2021-04-08-002541-b-b1")</f>
        <v/>
      </c>
      <c r="E263" t="s" s="1">
        <v>1859</v>
      </c>
      <c r="F263" t="s" s="1">
        <v>2810</v>
      </c>
      <c r="G263" t="s" s="1">
        <v>2810</v>
      </c>
      <c r="H263" t="s" s="1">
        <v>1049</v>
      </c>
      <c r="I263" t="s" s="1">
        <v>2178</v>
      </c>
      <c r="J263" t="s" s="1">
        <v>3112</v>
      </c>
      <c r="K263" t="s" s="1">
        <v>802</v>
      </c>
      <c r="L263" t="s" s="1">
        <v>421</v>
      </c>
      <c r="M263" t="n" s="5">
        <v>1230.0</v>
      </c>
      <c r="N263" t="n" s="7">
        <v>44294.0</v>
      </c>
      <c r="O263" t="n" s="7">
        <v>44561.0</v>
      </c>
      <c r="P263" t="s" s="1">
        <v>3384</v>
      </c>
    </row>
    <row r="264" spans="1:16">
      <c r="A264" t="n" s="4">
        <v>260</v>
      </c>
      <c r="B264" s="2">
        <f>HYPERLINK("https://my.zakupki.prom.ua/remote/dispatcher/state_purchase_view/25634774", "UA-2021-04-08-002123-b")</f>
        <v/>
      </c>
      <c r="C264" t="s" s="2">
        <v>3102</v>
      </c>
      <c r="D264" s="2">
        <f>HYPERLINK("https://my.zakupki.prom.ua/remote/dispatcher/state_contracting_view/8443122", "UA-2021-04-08-002123-b-b1")</f>
        <v/>
      </c>
      <c r="E264" t="s" s="1">
        <v>1295</v>
      </c>
      <c r="F264" t="s" s="1">
        <v>2799</v>
      </c>
      <c r="G264" t="s" s="1">
        <v>2799</v>
      </c>
      <c r="H264" t="s" s="1">
        <v>1008</v>
      </c>
      <c r="I264" t="s" s="1">
        <v>2178</v>
      </c>
      <c r="J264" t="s" s="1">
        <v>3112</v>
      </c>
      <c r="K264" t="s" s="1">
        <v>802</v>
      </c>
      <c r="L264" t="s" s="1">
        <v>286</v>
      </c>
      <c r="M264" t="n" s="5">
        <v>187.8</v>
      </c>
      <c r="N264" t="n" s="7">
        <v>44294.0</v>
      </c>
      <c r="O264" t="n" s="7">
        <v>44561.0</v>
      </c>
      <c r="P264" t="s" s="1">
        <v>3384</v>
      </c>
    </row>
    <row r="265" spans="1:16">
      <c r="A265" t="n" s="4">
        <v>261</v>
      </c>
      <c r="B265" s="2">
        <f>HYPERLINK("https://my.zakupki.prom.ua/remote/dispatcher/state_purchase_view/24869813", "UA-2021-03-15-001249-b")</f>
        <v/>
      </c>
      <c r="C265" t="s" s="2">
        <v>3102</v>
      </c>
      <c r="D265" s="2">
        <f>HYPERLINK("https://my.zakupki.prom.ua/remote/dispatcher/state_contracting_view/8085651", "UA-2021-03-15-001249-b-b1")</f>
        <v/>
      </c>
      <c r="E265" t="s" s="1">
        <v>1757</v>
      </c>
      <c r="F265" t="s" s="1">
        <v>2431</v>
      </c>
      <c r="G265" t="s" s="1">
        <v>2431</v>
      </c>
      <c r="H265" t="s" s="1">
        <v>693</v>
      </c>
      <c r="I265" t="s" s="1">
        <v>2178</v>
      </c>
      <c r="J265" t="s" s="1">
        <v>3112</v>
      </c>
      <c r="K265" t="s" s="1">
        <v>802</v>
      </c>
      <c r="L265" t="s" s="1">
        <v>1161</v>
      </c>
      <c r="M265" t="n" s="5">
        <v>3316.1</v>
      </c>
      <c r="N265" t="n" s="7">
        <v>44270.0</v>
      </c>
      <c r="O265" t="n" s="7">
        <v>44561.0</v>
      </c>
      <c r="P265" t="s" s="1">
        <v>3384</v>
      </c>
    </row>
    <row r="266" spans="1:16">
      <c r="A266" t="n" s="4">
        <v>262</v>
      </c>
      <c r="B266" s="2">
        <f>HYPERLINK("https://my.zakupki.prom.ua/remote/dispatcher/state_purchase_view/25067834", "UA-2021-03-19-002964-c")</f>
        <v/>
      </c>
      <c r="C266" t="s" s="2">
        <v>3102</v>
      </c>
      <c r="D266" s="2">
        <f>HYPERLINK("https://my.zakupki.prom.ua/remote/dispatcher/state_contracting_view/8170347", "UA-2021-03-19-002964-c-c1")</f>
        <v/>
      </c>
      <c r="E266" t="s" s="1">
        <v>106</v>
      </c>
      <c r="F266" t="s" s="1">
        <v>2971</v>
      </c>
      <c r="G266" t="s" s="1">
        <v>2971</v>
      </c>
      <c r="H266" t="s" s="1">
        <v>1453</v>
      </c>
      <c r="I266" t="s" s="1">
        <v>2178</v>
      </c>
      <c r="J266" t="s" s="1">
        <v>2157</v>
      </c>
      <c r="K266" t="s" s="1">
        <v>435</v>
      </c>
      <c r="L266" t="s" s="1">
        <v>231</v>
      </c>
      <c r="M266" t="n" s="5">
        <v>6040.98</v>
      </c>
      <c r="N266" t="n" s="7">
        <v>44274.0</v>
      </c>
      <c r="O266" t="n" s="7">
        <v>44561.0</v>
      </c>
      <c r="P266" t="s" s="1">
        <v>3384</v>
      </c>
    </row>
    <row r="267" spans="1:16">
      <c r="A267" t="n" s="4">
        <v>263</v>
      </c>
      <c r="B267" s="2">
        <f>HYPERLINK("https://my.zakupki.prom.ua/remote/dispatcher/state_purchase_view/25071671", "UA-2021-03-19-003903-b")</f>
        <v/>
      </c>
      <c r="C267" t="s" s="2">
        <v>3102</v>
      </c>
      <c r="D267" s="2">
        <f>HYPERLINK("https://my.zakupki.prom.ua/remote/dispatcher/state_contracting_view/8180288", "UA-2021-03-19-003903-b-b1")</f>
        <v/>
      </c>
      <c r="E267" t="s" s="1">
        <v>2066</v>
      </c>
      <c r="F267" t="s" s="1">
        <v>2535</v>
      </c>
      <c r="G267" t="s" s="1">
        <v>3532</v>
      </c>
      <c r="H267" t="s" s="1">
        <v>759</v>
      </c>
      <c r="I267" t="s" s="1">
        <v>2178</v>
      </c>
      <c r="J267" t="s" s="1">
        <v>3131</v>
      </c>
      <c r="K267" t="s" s="1">
        <v>658</v>
      </c>
      <c r="L267" t="s" s="1">
        <v>459</v>
      </c>
      <c r="M267" t="n" s="5">
        <v>3534.5</v>
      </c>
      <c r="N267" t="n" s="7">
        <v>44274.0</v>
      </c>
      <c r="O267" t="n" s="7">
        <v>44561.0</v>
      </c>
      <c r="P267" t="s" s="1">
        <v>3384</v>
      </c>
    </row>
    <row r="268" spans="1:16">
      <c r="A268" t="n" s="4">
        <v>264</v>
      </c>
      <c r="B268" s="2">
        <f>HYPERLINK("https://my.zakupki.prom.ua/remote/dispatcher/state_purchase_view/24837362", "UA-2021-03-12-005895-b")</f>
        <v/>
      </c>
      <c r="C268" t="s" s="2">
        <v>3102</v>
      </c>
      <c r="D268" s="2">
        <f>HYPERLINK("https://my.zakupki.prom.ua/remote/dispatcher/state_contracting_view/8488304", "UA-2021-03-12-005895-b-a1")</f>
        <v/>
      </c>
      <c r="E268" t="s" s="1">
        <v>1354</v>
      </c>
      <c r="F268" t="s" s="1">
        <v>3039</v>
      </c>
      <c r="G268" t="s" s="1">
        <v>2139</v>
      </c>
      <c r="H268" t="s" s="1">
        <v>761</v>
      </c>
      <c r="I268" t="s" s="1">
        <v>2142</v>
      </c>
      <c r="J268" t="s" s="1">
        <v>3228</v>
      </c>
      <c r="K268" t="s" s="1">
        <v>865</v>
      </c>
      <c r="L268" t="s" s="1">
        <v>974</v>
      </c>
      <c r="M268" t="n" s="5">
        <v>2165000.0</v>
      </c>
      <c r="N268" t="n" s="7">
        <v>44298.0</v>
      </c>
      <c r="O268" t="n" s="7">
        <v>44561.0</v>
      </c>
      <c r="P268" t="s" s="1">
        <v>3384</v>
      </c>
    </row>
    <row r="269" spans="1:16">
      <c r="A269" t="n" s="4">
        <v>265</v>
      </c>
      <c r="B269" s="2">
        <f>HYPERLINK("https://my.zakupki.prom.ua/remote/dispatcher/state_purchase_view/26619352", "UA-2021-05-18-002229-b")</f>
        <v/>
      </c>
      <c r="C269" t="s" s="2">
        <v>3102</v>
      </c>
      <c r="D269" s="2">
        <f>HYPERLINK("https://my.zakupki.prom.ua/remote/dispatcher/state_contracting_view/8924338", "UA-2021-05-18-002229-b-b1")</f>
        <v/>
      </c>
      <c r="E269" t="s" s="1">
        <v>1552</v>
      </c>
      <c r="F269" t="s" s="1">
        <v>2770</v>
      </c>
      <c r="G269" t="s" s="1">
        <v>2770</v>
      </c>
      <c r="H269" t="s" s="1">
        <v>921</v>
      </c>
      <c r="I269" t="s" s="1">
        <v>2178</v>
      </c>
      <c r="J269" t="s" s="1">
        <v>3157</v>
      </c>
      <c r="K269" t="s" s="1">
        <v>790</v>
      </c>
      <c r="L269" t="s" s="1">
        <v>1232</v>
      </c>
      <c r="M269" t="n" s="5">
        <v>169000.0</v>
      </c>
      <c r="N269" t="n" s="7">
        <v>44334.0</v>
      </c>
      <c r="O269" t="n" s="7">
        <v>44561.0</v>
      </c>
      <c r="P269" t="s" s="1">
        <v>3384</v>
      </c>
    </row>
    <row r="270" spans="1:16">
      <c r="A270" t="n" s="4">
        <v>266</v>
      </c>
      <c r="B270" s="2">
        <f>HYPERLINK("https://my.zakupki.prom.ua/remote/dispatcher/state_purchase_view/26618265", "UA-2021-05-18-001924-b")</f>
        <v/>
      </c>
      <c r="C270" t="s" s="2">
        <v>3102</v>
      </c>
      <c r="D270" s="2">
        <f>HYPERLINK("https://my.zakupki.prom.ua/remote/dispatcher/state_contracting_view/8924899", "UA-2021-05-18-001924-b-b1")</f>
        <v/>
      </c>
      <c r="E270" t="s" s="1">
        <v>1671</v>
      </c>
      <c r="F270" t="s" s="1">
        <v>2229</v>
      </c>
      <c r="G270" t="s" s="1">
        <v>2229</v>
      </c>
      <c r="H270" t="s" s="1">
        <v>55</v>
      </c>
      <c r="I270" t="s" s="1">
        <v>2178</v>
      </c>
      <c r="J270" t="s" s="1">
        <v>2133</v>
      </c>
      <c r="K270" t="s" s="1">
        <v>806</v>
      </c>
      <c r="L270" t="s" s="1">
        <v>1228</v>
      </c>
      <c r="M270" t="n" s="5">
        <v>21522.0</v>
      </c>
      <c r="N270" t="n" s="7">
        <v>44334.0</v>
      </c>
      <c r="O270" t="n" s="7">
        <v>44561.0</v>
      </c>
      <c r="P270" t="s" s="1">
        <v>3384</v>
      </c>
    </row>
    <row r="271" spans="1:16">
      <c r="A271" t="n" s="4">
        <v>267</v>
      </c>
      <c r="B271" s="2">
        <f>HYPERLINK("https://my.zakupki.prom.ua/remote/dispatcher/state_purchase_view/26462801", "UA-2021-05-12-009035-b")</f>
        <v/>
      </c>
      <c r="C271" t="s" s="2">
        <v>3102</v>
      </c>
      <c r="D271" s="2">
        <f>HYPERLINK("https://my.zakupki.prom.ua/remote/dispatcher/state_contracting_view/8837147", "UA-2021-05-12-009035-b-b1")</f>
        <v/>
      </c>
      <c r="E271" t="s" s="1">
        <v>1546</v>
      </c>
      <c r="F271" t="s" s="1">
        <v>2202</v>
      </c>
      <c r="G271" t="s" s="1">
        <v>2202</v>
      </c>
      <c r="H271" t="s" s="1">
        <v>1186</v>
      </c>
      <c r="I271" t="s" s="1">
        <v>2178</v>
      </c>
      <c r="J271" t="s" s="1">
        <v>2131</v>
      </c>
      <c r="K271" t="s" s="1">
        <v>605</v>
      </c>
      <c r="L271" t="s" s="1">
        <v>1200</v>
      </c>
      <c r="M271" t="n" s="5">
        <v>49938.0</v>
      </c>
      <c r="N271" t="n" s="7">
        <v>44328.0</v>
      </c>
      <c r="O271" t="n" s="7">
        <v>44561.0</v>
      </c>
      <c r="P271" t="s" s="1">
        <v>3384</v>
      </c>
    </row>
    <row r="272" spans="1:16">
      <c r="A272" t="n" s="4">
        <v>268</v>
      </c>
      <c r="B272" s="2">
        <f>HYPERLINK("https://my.zakupki.prom.ua/remote/dispatcher/state_purchase_view/25485039", "UA-2021-04-02-003016-b")</f>
        <v/>
      </c>
      <c r="C272" t="s" s="2">
        <v>3102</v>
      </c>
      <c r="D272" s="2">
        <f>HYPERLINK("https://my.zakupki.prom.ua/remote/dispatcher/state_contracting_view/8371466", "UA-2021-04-02-003016-b-b1")</f>
        <v/>
      </c>
      <c r="E272" t="s" s="1">
        <v>1709</v>
      </c>
      <c r="F272" t="s" s="1">
        <v>2263</v>
      </c>
      <c r="G272" t="s" s="1">
        <v>2263</v>
      </c>
      <c r="H272" t="s" s="1">
        <v>255</v>
      </c>
      <c r="I272" t="s" s="1">
        <v>2178</v>
      </c>
      <c r="J272" t="s" s="1">
        <v>3356</v>
      </c>
      <c r="K272" t="s" s="1">
        <v>814</v>
      </c>
      <c r="L272" t="s" s="1">
        <v>714</v>
      </c>
      <c r="M272" t="n" s="5">
        <v>19500.0</v>
      </c>
      <c r="N272" t="n" s="7">
        <v>44287.0</v>
      </c>
      <c r="O272" t="n" s="7">
        <v>44561.0</v>
      </c>
      <c r="P272" t="s" s="1">
        <v>3384</v>
      </c>
    </row>
    <row r="273" spans="1:16">
      <c r="A273" t="n" s="4">
        <v>269</v>
      </c>
      <c r="B273" s="2">
        <f>HYPERLINK("https://my.zakupki.prom.ua/remote/dispatcher/state_purchase_view/26932751", "UA-2021-05-27-001102-b")</f>
        <v/>
      </c>
      <c r="C273" t="s" s="2">
        <v>3102</v>
      </c>
      <c r="D273" s="2">
        <f>HYPERLINK("https://my.zakupki.prom.ua/remote/dispatcher/state_contracting_view/9059966", "UA-2021-05-27-001102-b-b1")</f>
        <v/>
      </c>
      <c r="E273" t="s" s="1">
        <v>1037</v>
      </c>
      <c r="F273" t="s" s="1">
        <v>2727</v>
      </c>
      <c r="G273" t="s" s="1">
        <v>2727</v>
      </c>
      <c r="H273" t="s" s="1">
        <v>796</v>
      </c>
      <c r="I273" t="s" s="1">
        <v>2178</v>
      </c>
      <c r="J273" t="s" s="1">
        <v>2140</v>
      </c>
      <c r="K273" t="s" s="1">
        <v>490</v>
      </c>
      <c r="L273" t="s" s="1">
        <v>1249</v>
      </c>
      <c r="M273" t="n" s="5">
        <v>6090.0</v>
      </c>
      <c r="N273" t="n" s="7">
        <v>44343.0</v>
      </c>
      <c r="O273" t="n" s="7">
        <v>44561.0</v>
      </c>
      <c r="P273" t="s" s="1">
        <v>3384</v>
      </c>
    </row>
    <row r="274" spans="1:16">
      <c r="A274" t="n" s="4">
        <v>270</v>
      </c>
      <c r="B274" s="2">
        <f>HYPERLINK("https://my.zakupki.prom.ua/remote/dispatcher/state_purchase_view/25547171", "UA-2021-04-06-000661-a")</f>
        <v/>
      </c>
      <c r="C274" t="s" s="2">
        <v>3102</v>
      </c>
      <c r="D274" s="2">
        <f>HYPERLINK("https://my.zakupki.prom.ua/remote/dispatcher/state_contracting_view/8398186", "UA-2021-04-06-000661-a-a1")</f>
        <v/>
      </c>
      <c r="E274" t="s" s="1">
        <v>225</v>
      </c>
      <c r="F274" t="s" s="1">
        <v>2732</v>
      </c>
      <c r="G274" t="s" s="1">
        <v>2732</v>
      </c>
      <c r="H274" t="s" s="1">
        <v>807</v>
      </c>
      <c r="I274" t="s" s="1">
        <v>2178</v>
      </c>
      <c r="J274" t="s" s="1">
        <v>3306</v>
      </c>
      <c r="K274" t="s" s="1">
        <v>996</v>
      </c>
      <c r="L274" t="s" s="1">
        <v>3075</v>
      </c>
      <c r="M274" t="n" s="5">
        <v>8010.0</v>
      </c>
      <c r="N274" t="n" s="7">
        <v>44292.0</v>
      </c>
      <c r="O274" t="n" s="7">
        <v>44561.0</v>
      </c>
      <c r="P274" t="s" s="1">
        <v>3384</v>
      </c>
    </row>
    <row r="275" spans="1:16">
      <c r="A275" t="n" s="4">
        <v>271</v>
      </c>
      <c r="B275" s="2">
        <f>HYPERLINK("https://my.zakupki.prom.ua/remote/dispatcher/state_purchase_view/25604100", "UA-2021-04-07-005984-a")</f>
        <v/>
      </c>
      <c r="C275" t="s" s="2">
        <v>3102</v>
      </c>
      <c r="D275" s="2">
        <f>HYPERLINK("https://my.zakupki.prom.ua/remote/dispatcher/state_contracting_view/8425590", "UA-2021-04-07-005984-a-a1")</f>
        <v/>
      </c>
      <c r="E275" t="s" s="1">
        <v>1861</v>
      </c>
      <c r="F275" t="s" s="1">
        <v>2338</v>
      </c>
      <c r="G275" t="s" s="1">
        <v>2338</v>
      </c>
      <c r="H275" t="s" s="1">
        <v>377</v>
      </c>
      <c r="I275" t="s" s="1">
        <v>2178</v>
      </c>
      <c r="J275" t="s" s="1">
        <v>3342</v>
      </c>
      <c r="K275" t="s" s="1">
        <v>530</v>
      </c>
      <c r="L275" t="s" s="1">
        <v>851</v>
      </c>
      <c r="M275" t="n" s="5">
        <v>5845.0</v>
      </c>
      <c r="N275" t="n" s="7">
        <v>44293.0</v>
      </c>
      <c r="O275" t="n" s="7">
        <v>44561.0</v>
      </c>
      <c r="P275" t="s" s="1">
        <v>3384</v>
      </c>
    </row>
    <row r="276" spans="1:16">
      <c r="A276" t="n" s="4">
        <v>272</v>
      </c>
      <c r="B276" s="2">
        <f>HYPERLINK("https://my.zakupki.prom.ua/remote/dispatcher/state_purchase_view/23279808", "UA-2021-01-26-007995-b")</f>
        <v/>
      </c>
      <c r="C276" t="s" s="2">
        <v>3102</v>
      </c>
      <c r="D276" s="2">
        <f>HYPERLINK("https://my.zakupki.prom.ua/remote/dispatcher/state_contracting_view/7345144", "UA-2021-01-26-007995-b-b1")</f>
        <v/>
      </c>
      <c r="E276" t="s" s="1">
        <v>1857</v>
      </c>
      <c r="F276" t="s" s="1">
        <v>2409</v>
      </c>
      <c r="G276" t="s" s="1">
        <v>2409</v>
      </c>
      <c r="H276" t="s" s="1">
        <v>659</v>
      </c>
      <c r="I276" t="s" s="1">
        <v>2178</v>
      </c>
      <c r="J276" t="s" s="1">
        <v>2163</v>
      </c>
      <c r="K276" t="s" s="1">
        <v>724</v>
      </c>
      <c r="L276" t="s" s="1">
        <v>1564</v>
      </c>
      <c r="M276" t="n" s="5">
        <v>29969.22</v>
      </c>
      <c r="N276" t="n" s="7">
        <v>44221.0</v>
      </c>
      <c r="O276" t="n" s="7">
        <v>44561.0</v>
      </c>
      <c r="P276" t="s" s="1">
        <v>3384</v>
      </c>
    </row>
    <row r="277" spans="1:16">
      <c r="A277" t="n" s="4">
        <v>273</v>
      </c>
      <c r="B277" s="2">
        <f>HYPERLINK("https://my.zakupki.prom.ua/remote/dispatcher/state_purchase_view/27211469", "UA-2021-06-07-000449-b")</f>
        <v/>
      </c>
      <c r="C277" t="s" s="2">
        <v>3102</v>
      </c>
      <c r="D277" s="2">
        <f>HYPERLINK("https://my.zakupki.prom.ua/remote/dispatcher/state_contracting_view/9191637", "UA-2021-06-07-000449-b-b1")</f>
        <v/>
      </c>
      <c r="E277" t="s" s="1">
        <v>2020</v>
      </c>
      <c r="F277" t="s" s="1">
        <v>2966</v>
      </c>
      <c r="G277" t="s" s="1">
        <v>2966</v>
      </c>
      <c r="H277" t="s" s="1">
        <v>1450</v>
      </c>
      <c r="I277" t="s" s="1">
        <v>2178</v>
      </c>
      <c r="J277" t="s" s="1">
        <v>2134</v>
      </c>
      <c r="K277" t="s" s="1">
        <v>370</v>
      </c>
      <c r="L277" t="s" s="1">
        <v>13</v>
      </c>
      <c r="M277" t="n" s="5">
        <v>12787.0</v>
      </c>
      <c r="N277" t="n" s="7">
        <v>44354.0</v>
      </c>
      <c r="O277" t="n" s="7">
        <v>44561.0</v>
      </c>
      <c r="P277" t="s" s="1">
        <v>3384</v>
      </c>
    </row>
    <row r="278" spans="1:16">
      <c r="A278" t="n" s="4">
        <v>274</v>
      </c>
      <c r="B278" s="2">
        <f>HYPERLINK("https://my.zakupki.prom.ua/remote/dispatcher/state_purchase_view/27269620", "UA-2021-06-08-005066-b")</f>
        <v/>
      </c>
      <c r="C278" t="s" s="2">
        <v>3102</v>
      </c>
      <c r="D278" s="2">
        <f>HYPERLINK("https://my.zakupki.prom.ua/remote/dispatcher/state_contracting_view/9221609", "UA-2021-06-08-005066-b-b1")</f>
        <v/>
      </c>
      <c r="E278" t="s" s="1">
        <v>2082</v>
      </c>
      <c r="F278" t="s" s="1">
        <v>2976</v>
      </c>
      <c r="G278" t="s" s="1">
        <v>2976</v>
      </c>
      <c r="H278" t="s" s="1">
        <v>1460</v>
      </c>
      <c r="I278" t="s" s="1">
        <v>2178</v>
      </c>
      <c r="J278" t="s" s="1">
        <v>2130</v>
      </c>
      <c r="K278" t="s" s="1">
        <v>518</v>
      </c>
      <c r="L278" t="s" s="1">
        <v>301</v>
      </c>
      <c r="M278" t="n" s="5">
        <v>260.0</v>
      </c>
      <c r="N278" t="n" s="7">
        <v>44355.0</v>
      </c>
      <c r="O278" t="n" s="7">
        <v>44561.0</v>
      </c>
      <c r="P278" t="s" s="1">
        <v>3384</v>
      </c>
    </row>
    <row r="279" spans="1:16">
      <c r="A279" t="n" s="4">
        <v>275</v>
      </c>
      <c r="B279" s="2">
        <f>HYPERLINK("https://my.zakupki.prom.ua/remote/dispatcher/state_purchase_view/27199349", "UA-2021-06-04-008540-b")</f>
        <v/>
      </c>
      <c r="C279" t="s" s="2">
        <v>3102</v>
      </c>
      <c r="D279" s="2">
        <f>HYPERLINK("https://my.zakupki.prom.ua/remote/dispatcher/state_contracting_view/9185912", "UA-2021-06-04-008540-b-b1")</f>
        <v/>
      </c>
      <c r="E279" t="s" s="1">
        <v>1544</v>
      </c>
      <c r="F279" t="s" s="1">
        <v>3009</v>
      </c>
      <c r="G279" t="s" s="1">
        <v>3009</v>
      </c>
      <c r="H279" t="s" s="1">
        <v>1577</v>
      </c>
      <c r="I279" t="s" s="1">
        <v>2178</v>
      </c>
      <c r="J279" t="s" s="1">
        <v>2189</v>
      </c>
      <c r="K279" t="s" s="1">
        <v>482</v>
      </c>
      <c r="L279" t="s" s="1">
        <v>1746</v>
      </c>
      <c r="M279" t="n" s="5">
        <v>2500.0</v>
      </c>
      <c r="N279" t="n" s="7">
        <v>44349.0</v>
      </c>
      <c r="O279" t="n" s="7">
        <v>44561.0</v>
      </c>
      <c r="P279" t="s" s="1">
        <v>3384</v>
      </c>
    </row>
    <row r="280" spans="1:16">
      <c r="A280" t="n" s="4">
        <v>276</v>
      </c>
      <c r="B280" s="2">
        <f>HYPERLINK("https://my.zakupki.prom.ua/remote/dispatcher/state_purchase_view/23467290", "UA-2021-02-01-000276-a")</f>
        <v/>
      </c>
      <c r="C280" t="s" s="2">
        <v>3102</v>
      </c>
      <c r="D280" s="2">
        <f>HYPERLINK("https://my.zakupki.prom.ua/remote/dispatcher/state_contracting_view/7424946", "UA-2021-02-01-000276-a-a1")</f>
        <v/>
      </c>
      <c r="E280" t="s" s="1">
        <v>1144</v>
      </c>
      <c r="F280" t="s" s="1">
        <v>2243</v>
      </c>
      <c r="G280" t="s" s="1">
        <v>2243</v>
      </c>
      <c r="H280" t="s" s="1">
        <v>227</v>
      </c>
      <c r="I280" t="s" s="1">
        <v>2178</v>
      </c>
      <c r="J280" t="s" s="1">
        <v>2183</v>
      </c>
      <c r="K280" t="s" s="1">
        <v>436</v>
      </c>
      <c r="L280" t="s" s="1">
        <v>1431</v>
      </c>
      <c r="M280" t="n" s="5">
        <v>9363.6</v>
      </c>
      <c r="N280" t="n" s="7">
        <v>44228.0</v>
      </c>
      <c r="O280" t="n" s="7">
        <v>44561.0</v>
      </c>
      <c r="P280" t="s" s="1">
        <v>3384</v>
      </c>
    </row>
    <row r="281" spans="1:16">
      <c r="A281" t="n" s="4">
        <v>277</v>
      </c>
      <c r="B281" s="2">
        <f>HYPERLINK("https://my.zakupki.prom.ua/remote/dispatcher/state_purchase_view/23615414", "UA-2021-02-03-011967-a")</f>
        <v/>
      </c>
      <c r="C281" t="s" s="2">
        <v>3102</v>
      </c>
      <c r="D281" s="2">
        <f>HYPERLINK("https://my.zakupki.prom.ua/remote/dispatcher/state_contracting_view/7489054", "UA-2021-02-03-011967-a-a1")</f>
        <v/>
      </c>
      <c r="E281" t="s" s="1">
        <v>962</v>
      </c>
      <c r="F281" t="s" s="1">
        <v>2230</v>
      </c>
      <c r="G281" t="s" s="1">
        <v>2230</v>
      </c>
      <c r="H281" t="s" s="1">
        <v>96</v>
      </c>
      <c r="I281" t="s" s="1">
        <v>2178</v>
      </c>
      <c r="J281" t="s" s="1">
        <v>3282</v>
      </c>
      <c r="K281" t="s" s="1">
        <v>931</v>
      </c>
      <c r="L281" t="s" s="1">
        <v>998</v>
      </c>
      <c r="M281" t="n" s="5">
        <v>11048.4</v>
      </c>
      <c r="N281" t="n" s="7">
        <v>44230.0</v>
      </c>
      <c r="O281" t="n" s="7">
        <v>44561.0</v>
      </c>
      <c r="P281" t="s" s="1">
        <v>3384</v>
      </c>
    </row>
    <row r="282" spans="1:16">
      <c r="A282" t="n" s="4">
        <v>278</v>
      </c>
      <c r="B282" s="2">
        <f>HYPERLINK("https://my.zakupki.prom.ua/remote/dispatcher/state_purchase_view/22841535", "UA-2021-01-04-000305-c")</f>
        <v/>
      </c>
      <c r="C282" t="s" s="2">
        <v>3102</v>
      </c>
      <c r="D282" s="2">
        <f>HYPERLINK("https://my.zakupki.prom.ua/remote/dispatcher/state_contracting_view/7183831", "UA-2021-01-04-000305-c-c1")</f>
        <v/>
      </c>
      <c r="E282" t="s" s="1">
        <v>858</v>
      </c>
      <c r="F282" t="s" s="1">
        <v>3032</v>
      </c>
      <c r="G282" t="s" s="1">
        <v>2170</v>
      </c>
      <c r="H282" t="s" s="1">
        <v>1716</v>
      </c>
      <c r="I282" t="s" s="1">
        <v>2178</v>
      </c>
      <c r="J282" t="s" s="1">
        <v>2164</v>
      </c>
      <c r="K282" t="s" s="1">
        <v>433</v>
      </c>
      <c r="L282" t="s" s="1">
        <v>288</v>
      </c>
      <c r="M282" t="n" s="5">
        <v>11784.0</v>
      </c>
      <c r="N282" t="n" s="7">
        <v>44200.0</v>
      </c>
      <c r="O282" t="n" s="7">
        <v>44561.0</v>
      </c>
      <c r="P282" t="s" s="1">
        <v>3384</v>
      </c>
    </row>
    <row r="283" spans="1:16">
      <c r="A283" t="n" s="4">
        <v>279</v>
      </c>
      <c r="B283" s="2">
        <f>HYPERLINK("https://my.zakupki.prom.ua/remote/dispatcher/state_purchase_view/24746088", "UA-2021-03-10-006076-b")</f>
        <v/>
      </c>
      <c r="C283" t="s" s="2">
        <v>3102</v>
      </c>
      <c r="D283" s="2">
        <f>HYPERLINK("https://my.zakupki.prom.ua/remote/dispatcher/state_contracting_view/8020741", "UA-2021-03-10-006076-b-b1")</f>
        <v/>
      </c>
      <c r="E283" t="s" s="1">
        <v>1294</v>
      </c>
      <c r="F283" t="s" s="1">
        <v>2658</v>
      </c>
      <c r="G283" t="s" s="1">
        <v>2658</v>
      </c>
      <c r="H283" t="s" s="1">
        <v>774</v>
      </c>
      <c r="I283" t="s" s="1">
        <v>2178</v>
      </c>
      <c r="J283" t="s" s="1">
        <v>3277</v>
      </c>
      <c r="K283" t="s" s="1">
        <v>519</v>
      </c>
      <c r="L283" t="s" s="1">
        <v>272</v>
      </c>
      <c r="M283" t="n" s="5">
        <v>543.66</v>
      </c>
      <c r="N283" t="n" s="7">
        <v>44264.0</v>
      </c>
      <c r="O283" t="n" s="7">
        <v>44561.0</v>
      </c>
      <c r="P283" t="s" s="1">
        <v>3384</v>
      </c>
    </row>
    <row r="284" spans="1:16">
      <c r="A284" t="n" s="4">
        <v>280</v>
      </c>
      <c r="B284" s="2">
        <f>HYPERLINK("https://my.zakupki.prom.ua/remote/dispatcher/state_purchase_view/25252309", "UA-2021-03-26-006009-c")</f>
        <v/>
      </c>
      <c r="C284" t="s" s="2">
        <v>3102</v>
      </c>
      <c r="D284" s="2">
        <f>HYPERLINK("https://my.zakupki.prom.ua/remote/dispatcher/state_contracting_view/8275982", "UA-2021-03-26-006009-c-c1")</f>
        <v/>
      </c>
      <c r="E284" t="s" s="1">
        <v>1405</v>
      </c>
      <c r="F284" t="s" s="1">
        <v>2785</v>
      </c>
      <c r="G284" t="s" s="1">
        <v>3496</v>
      </c>
      <c r="H284" t="s" s="1">
        <v>934</v>
      </c>
      <c r="I284" t="s" s="1">
        <v>2178</v>
      </c>
      <c r="J284" t="s" s="1">
        <v>3310</v>
      </c>
      <c r="K284" t="s" s="1">
        <v>574</v>
      </c>
      <c r="L284" t="s" s="1">
        <v>3199</v>
      </c>
      <c r="M284" t="n" s="5">
        <v>3346.0</v>
      </c>
      <c r="N284" t="n" s="7">
        <v>44281.0</v>
      </c>
      <c r="O284" t="n" s="7">
        <v>44561.0</v>
      </c>
      <c r="P284" t="s" s="1">
        <v>3384</v>
      </c>
    </row>
    <row r="285" spans="1:16">
      <c r="A285" t="n" s="4">
        <v>281</v>
      </c>
      <c r="B285" s="2">
        <f>HYPERLINK("https://my.zakupki.prom.ua/remote/dispatcher/state_purchase_view/31558898", "UA-2021-11-09-002805-b")</f>
        <v/>
      </c>
      <c r="C285" t="s" s="2">
        <v>3102</v>
      </c>
      <c r="D285" s="2">
        <f>HYPERLINK("https://my.zakupki.prom.ua/remote/dispatcher/state_contracting_view/11218711", "UA-2021-11-09-002805-b-b1")</f>
        <v/>
      </c>
      <c r="E285" t="s" s="1">
        <v>2080</v>
      </c>
      <c r="F285" t="s" s="1">
        <v>2579</v>
      </c>
      <c r="G285" t="s" s="1">
        <v>3109</v>
      </c>
      <c r="H285" t="s" s="1">
        <v>774</v>
      </c>
      <c r="I285" t="s" s="1">
        <v>2178</v>
      </c>
      <c r="J285" t="s" s="1">
        <v>3254</v>
      </c>
      <c r="K285" t="s" s="1">
        <v>1051</v>
      </c>
      <c r="L285" t="s" s="1">
        <v>1568</v>
      </c>
      <c r="M285" t="n" s="5">
        <v>44982.6</v>
      </c>
      <c r="N285" t="n" s="7">
        <v>44508.0</v>
      </c>
      <c r="O285" t="n" s="7">
        <v>44561.0</v>
      </c>
      <c r="P285" t="s" s="1">
        <v>3384</v>
      </c>
    </row>
    <row r="286" spans="1:16">
      <c r="A286" t="n" s="4">
        <v>282</v>
      </c>
      <c r="B286" s="2">
        <f>HYPERLINK("https://my.zakupki.prom.ua/remote/dispatcher/state_purchase_view/30713328", "UA-2021-10-12-005405-b")</f>
        <v/>
      </c>
      <c r="C286" t="s" s="2">
        <v>3102</v>
      </c>
      <c r="D286" s="2">
        <f>HYPERLINK("https://my.zakupki.prom.ua/remote/dispatcher/state_contracting_view/10839970", "UA-2021-10-12-005405-b-b1")</f>
        <v/>
      </c>
      <c r="E286" t="s" s="1">
        <v>1734</v>
      </c>
      <c r="F286" t="s" s="1">
        <v>2598</v>
      </c>
      <c r="G286" t="s" s="1">
        <v>3352</v>
      </c>
      <c r="H286" t="s" s="1">
        <v>774</v>
      </c>
      <c r="I286" t="s" s="1">
        <v>2178</v>
      </c>
      <c r="J286" t="s" s="1">
        <v>3221</v>
      </c>
      <c r="K286" t="s" s="1">
        <v>519</v>
      </c>
      <c r="L286" t="s" s="1">
        <v>1510</v>
      </c>
      <c r="M286" t="n" s="5">
        <v>161829.58</v>
      </c>
      <c r="N286" t="n" s="7">
        <v>44481.0</v>
      </c>
      <c r="O286" t="n" s="7">
        <v>44561.0</v>
      </c>
      <c r="P286" t="s" s="1">
        <v>3384</v>
      </c>
    </row>
    <row r="287" spans="1:16">
      <c r="A287" t="n" s="4">
        <v>283</v>
      </c>
      <c r="B287" s="2">
        <f>HYPERLINK("https://my.zakupki.prom.ua/remote/dispatcher/state_purchase_view/27741044", "UA-2021-06-24-005128-c")</f>
        <v/>
      </c>
      <c r="C287" t="s" s="2">
        <v>3102</v>
      </c>
      <c r="D287" s="2">
        <f>HYPERLINK("https://my.zakupki.prom.ua/remote/dispatcher/state_contracting_view/9442973", "UA-2021-06-24-005128-c-c1")</f>
        <v/>
      </c>
      <c r="E287" t="s" s="1">
        <v>399</v>
      </c>
      <c r="F287" t="s" s="1">
        <v>2696</v>
      </c>
      <c r="G287" t="s" s="1">
        <v>3539</v>
      </c>
      <c r="H287" t="s" s="1">
        <v>774</v>
      </c>
      <c r="I287" t="s" s="1">
        <v>2178</v>
      </c>
      <c r="J287" t="s" s="1">
        <v>3313</v>
      </c>
      <c r="K287" t="s" s="1">
        <v>519</v>
      </c>
      <c r="L287" t="s" s="1">
        <v>1284</v>
      </c>
      <c r="M287" t="n" s="5">
        <v>11262.95</v>
      </c>
      <c r="N287" t="n" s="7">
        <v>44369.0</v>
      </c>
      <c r="O287" t="n" s="7">
        <v>44561.0</v>
      </c>
      <c r="P287" t="s" s="1">
        <v>3384</v>
      </c>
    </row>
    <row r="288" spans="1:16">
      <c r="A288" t="n" s="4">
        <v>284</v>
      </c>
      <c r="B288" s="2">
        <f>HYPERLINK("https://my.zakupki.prom.ua/remote/dispatcher/state_purchase_view/27746590", "UA-2021-06-24-006721-c")</f>
        <v/>
      </c>
      <c r="C288" t="s" s="2">
        <v>3102</v>
      </c>
      <c r="D288" s="2">
        <f>HYPERLINK("https://my.zakupki.prom.ua/remote/dispatcher/state_contracting_view/9445774", "UA-2021-06-24-006721-c-c1")</f>
        <v/>
      </c>
      <c r="E288" t="s" s="1">
        <v>2054</v>
      </c>
      <c r="F288" t="s" s="1">
        <v>2620</v>
      </c>
      <c r="G288" t="s" s="1">
        <v>2620</v>
      </c>
      <c r="H288" t="s" s="1">
        <v>774</v>
      </c>
      <c r="I288" t="s" s="1">
        <v>2178</v>
      </c>
      <c r="J288" t="s" s="1">
        <v>3277</v>
      </c>
      <c r="K288" t="s" s="1">
        <v>519</v>
      </c>
      <c r="L288" t="s" s="1">
        <v>1316</v>
      </c>
      <c r="M288" t="n" s="5">
        <v>2357.81</v>
      </c>
      <c r="N288" t="n" s="7">
        <v>44369.0</v>
      </c>
      <c r="O288" t="n" s="7">
        <v>44561.0</v>
      </c>
      <c r="P288" t="s" s="1">
        <v>3384</v>
      </c>
    </row>
    <row r="289" spans="1:16">
      <c r="A289" t="n" s="4">
        <v>285</v>
      </c>
      <c r="B289" s="2">
        <f>HYPERLINK("https://my.zakupki.prom.ua/remote/dispatcher/state_purchase_view/30405065", "UA-2021-10-01-004255-b")</f>
        <v/>
      </c>
      <c r="C289" t="s" s="2">
        <v>3102</v>
      </c>
      <c r="D289" s="2">
        <f>HYPERLINK("https://my.zakupki.prom.ua/remote/dispatcher/state_contracting_view/10694258", "UA-2021-10-01-004255-b-b1")</f>
        <v/>
      </c>
      <c r="E289" t="s" s="1">
        <v>1549</v>
      </c>
      <c r="F289" t="s" s="1">
        <v>2623</v>
      </c>
      <c r="G289" t="s" s="1">
        <v>2623</v>
      </c>
      <c r="H289" t="s" s="1">
        <v>774</v>
      </c>
      <c r="I289" t="s" s="1">
        <v>2178</v>
      </c>
      <c r="J289" t="s" s="1">
        <v>3211</v>
      </c>
      <c r="K289" t="s" s="1">
        <v>776</v>
      </c>
      <c r="L289" t="s" s="1">
        <v>683</v>
      </c>
      <c r="M289" t="n" s="5">
        <v>150.0</v>
      </c>
      <c r="N289" t="n" s="7">
        <v>44469.0</v>
      </c>
      <c r="O289" t="n" s="7">
        <v>44561.0</v>
      </c>
      <c r="P289" t="s" s="1">
        <v>3384</v>
      </c>
    </row>
    <row r="290" spans="1:16">
      <c r="A290" t="n" s="4">
        <v>286</v>
      </c>
      <c r="B290" s="2">
        <f>HYPERLINK("https://my.zakupki.prom.ua/remote/dispatcher/state_purchase_view/24961555", "UA-2021-03-17-000407-c")</f>
        <v/>
      </c>
      <c r="C290" t="s" s="2">
        <v>3102</v>
      </c>
      <c r="D290" s="2">
        <f>HYPERLINK("https://my.zakupki.prom.ua/remote/dispatcher/state_contracting_view/8118748", "UA-2021-03-17-000407-c-c1")</f>
        <v/>
      </c>
      <c r="E290" t="s" s="1">
        <v>642</v>
      </c>
      <c r="F290" t="s" s="1">
        <v>2502</v>
      </c>
      <c r="G290" t="s" s="1">
        <v>3403</v>
      </c>
      <c r="H290" t="s" s="1">
        <v>759</v>
      </c>
      <c r="I290" t="s" s="1">
        <v>2178</v>
      </c>
      <c r="J290" t="s" s="1">
        <v>3286</v>
      </c>
      <c r="K290" t="s" s="1">
        <v>820</v>
      </c>
      <c r="L290" t="s" s="1">
        <v>452</v>
      </c>
      <c r="M290" t="n" s="5">
        <v>5000.0</v>
      </c>
      <c r="N290" t="n" s="7">
        <v>44272.0</v>
      </c>
      <c r="O290" t="n" s="7">
        <v>44561.0</v>
      </c>
      <c r="P290" t="s" s="1">
        <v>3384</v>
      </c>
    </row>
    <row r="291" spans="1:16">
      <c r="A291" t="n" s="4">
        <v>287</v>
      </c>
      <c r="B291" s="2">
        <f>HYPERLINK("https://my.zakupki.prom.ua/remote/dispatcher/state_purchase_view/25661889", "UA-2021-04-08-005608-a")</f>
        <v/>
      </c>
      <c r="C291" t="s" s="2">
        <v>3102</v>
      </c>
      <c r="D291" s="2">
        <f>HYPERLINK("https://my.zakupki.prom.ua/remote/dispatcher/state_contracting_view/8453645", "UA-2021-04-08-005608-a-a1")</f>
        <v/>
      </c>
      <c r="E291" t="s" s="1">
        <v>2051</v>
      </c>
      <c r="F291" t="s" s="1">
        <v>2198</v>
      </c>
      <c r="G291" t="s" s="1">
        <v>2198</v>
      </c>
      <c r="H291" t="s" s="1">
        <v>763</v>
      </c>
      <c r="I291" t="s" s="1">
        <v>2178</v>
      </c>
      <c r="J291" t="s" s="1">
        <v>3277</v>
      </c>
      <c r="K291" t="s" s="1">
        <v>519</v>
      </c>
      <c r="L291" t="s" s="1">
        <v>904</v>
      </c>
      <c r="M291" t="n" s="5">
        <v>781.44</v>
      </c>
      <c r="N291" t="n" s="7">
        <v>44294.0</v>
      </c>
      <c r="O291" t="n" s="7">
        <v>44561.0</v>
      </c>
      <c r="P291" t="s" s="1">
        <v>3384</v>
      </c>
    </row>
    <row r="292" spans="1:16">
      <c r="A292" t="n" s="4">
        <v>288</v>
      </c>
      <c r="B292" s="2">
        <f>HYPERLINK("https://my.zakupki.prom.ua/remote/dispatcher/state_purchase_view/25826525", "UA-2021-04-14-010318-b")</f>
        <v/>
      </c>
      <c r="C292" t="s" s="2">
        <v>3102</v>
      </c>
      <c r="D292" s="2">
        <f>HYPERLINK("https://my.zakupki.prom.ua/remote/dispatcher/state_contracting_view/8530693", "UA-2021-04-14-010318-b-b1")</f>
        <v/>
      </c>
      <c r="E292" t="s" s="1">
        <v>1774</v>
      </c>
      <c r="F292" t="s" s="1">
        <v>2596</v>
      </c>
      <c r="G292" t="s" s="1">
        <v>2596</v>
      </c>
      <c r="H292" t="s" s="1">
        <v>774</v>
      </c>
      <c r="I292" t="s" s="1">
        <v>2178</v>
      </c>
      <c r="J292" t="s" s="1">
        <v>3297</v>
      </c>
      <c r="K292" t="s" s="1">
        <v>522</v>
      </c>
      <c r="L292" t="s" s="1">
        <v>981</v>
      </c>
      <c r="M292" t="n" s="5">
        <v>355040.0</v>
      </c>
      <c r="N292" t="n" s="7">
        <v>44300.0</v>
      </c>
      <c r="O292" t="n" s="7">
        <v>44561.0</v>
      </c>
      <c r="P292" t="s" s="1">
        <v>3384</v>
      </c>
    </row>
    <row r="293" spans="1:16">
      <c r="A293" t="n" s="4">
        <v>289</v>
      </c>
      <c r="B293" s="2">
        <f>HYPERLINK("https://my.zakupki.prom.ua/remote/dispatcher/state_purchase_view/25857287", "UA-2021-04-15-008025-b")</f>
        <v/>
      </c>
      <c r="C293" t="s" s="2">
        <v>3102</v>
      </c>
      <c r="D293" s="2">
        <f>HYPERLINK("https://my.zakupki.prom.ua/remote/dispatcher/state_contracting_view/8547132", "UA-2021-04-15-008025-b-b1")</f>
        <v/>
      </c>
      <c r="E293" t="s" s="1">
        <v>1973</v>
      </c>
      <c r="F293" t="s" s="1">
        <v>2223</v>
      </c>
      <c r="G293" t="s" s="1">
        <v>2223</v>
      </c>
      <c r="H293" t="s" s="1">
        <v>48</v>
      </c>
      <c r="I293" t="s" s="1">
        <v>2178</v>
      </c>
      <c r="J293" t="s" s="1">
        <v>3308</v>
      </c>
      <c r="K293" t="s" s="1">
        <v>674</v>
      </c>
      <c r="L293" t="s" s="1">
        <v>988</v>
      </c>
      <c r="M293" t="n" s="5">
        <v>5130.0</v>
      </c>
      <c r="N293" t="n" s="7">
        <v>44301.0</v>
      </c>
      <c r="O293" t="n" s="7">
        <v>44561.0</v>
      </c>
      <c r="P293" t="s" s="1">
        <v>3384</v>
      </c>
    </row>
    <row r="294" spans="1:16">
      <c r="A294" t="n" s="4">
        <v>290</v>
      </c>
      <c r="B294" s="2">
        <f>HYPERLINK("https://my.zakupki.prom.ua/remote/dispatcher/state_purchase_view/29760151", "UA-2021-09-10-010761-c")</f>
        <v/>
      </c>
      <c r="C294" t="s" s="2">
        <v>3102</v>
      </c>
      <c r="D294" s="2">
        <f>HYPERLINK("https://my.zakupki.prom.ua/remote/dispatcher/state_contracting_view/10389456", "UA-2021-09-10-010761-c-c1")</f>
        <v/>
      </c>
      <c r="E294" t="s" s="1">
        <v>1635</v>
      </c>
      <c r="F294" t="s" s="1">
        <v>2909</v>
      </c>
      <c r="G294" t="s" s="1">
        <v>2909</v>
      </c>
      <c r="H294" t="s" s="1">
        <v>1169</v>
      </c>
      <c r="I294" t="s" s="1">
        <v>2178</v>
      </c>
      <c r="J294" t="s" s="1">
        <v>3304</v>
      </c>
      <c r="K294" t="s" s="1">
        <v>483</v>
      </c>
      <c r="L294" t="s" s="1">
        <v>1436</v>
      </c>
      <c r="M294" t="n" s="5">
        <v>4484.0</v>
      </c>
      <c r="N294" t="n" s="7">
        <v>44449.0</v>
      </c>
      <c r="O294" t="n" s="7">
        <v>44561.0</v>
      </c>
      <c r="P294" t="s" s="1">
        <v>3384</v>
      </c>
    </row>
    <row r="295" spans="1:16">
      <c r="A295" t="n" s="4">
        <v>291</v>
      </c>
      <c r="B295" s="2">
        <f>HYPERLINK("https://my.zakupki.prom.ua/remote/dispatcher/state_purchase_view/30680748", "UA-2021-10-11-009099-b")</f>
        <v/>
      </c>
      <c r="C295" t="s" s="2">
        <v>3102</v>
      </c>
      <c r="D295" s="2">
        <f>HYPERLINK("https://my.zakupki.prom.ua/remote/dispatcher/state_contracting_view/10812870", "UA-2021-10-11-009099-b-b1")</f>
        <v/>
      </c>
      <c r="E295" t="s" s="1">
        <v>396</v>
      </c>
      <c r="F295" t="s" s="1">
        <v>2299</v>
      </c>
      <c r="G295" t="s" s="1">
        <v>2299</v>
      </c>
      <c r="H295" t="s" s="1">
        <v>275</v>
      </c>
      <c r="I295" t="s" s="1">
        <v>2178</v>
      </c>
      <c r="J295" t="s" s="1">
        <v>3356</v>
      </c>
      <c r="K295" t="s" s="1">
        <v>814</v>
      </c>
      <c r="L295" t="s" s="1">
        <v>1504</v>
      </c>
      <c r="M295" t="n" s="5">
        <v>1500.0</v>
      </c>
      <c r="N295" t="n" s="7">
        <v>44480.0</v>
      </c>
      <c r="O295" t="n" s="7">
        <v>44561.0</v>
      </c>
      <c r="P295" t="s" s="1">
        <v>3384</v>
      </c>
    </row>
    <row r="296" spans="1:16">
      <c r="A296" t="n" s="4">
        <v>292</v>
      </c>
      <c r="B296" s="2">
        <f>HYPERLINK("https://my.zakupki.prom.ua/remote/dispatcher/state_purchase_view/32319274", "UA-2021-11-29-001620-c")</f>
        <v/>
      </c>
      <c r="C296" t="s" s="2">
        <v>3102</v>
      </c>
      <c r="D296" s="2">
        <f>HYPERLINK("https://my.zakupki.prom.ua/remote/dispatcher/state_contracting_view/11567438", "UA-2021-11-29-001620-c-c1")</f>
        <v/>
      </c>
      <c r="E296" t="s" s="1">
        <v>1539</v>
      </c>
      <c r="F296" t="s" s="1">
        <v>2726</v>
      </c>
      <c r="G296" t="s" s="1">
        <v>2726</v>
      </c>
      <c r="H296" t="s" s="1">
        <v>796</v>
      </c>
      <c r="I296" t="s" s="1">
        <v>2178</v>
      </c>
      <c r="J296" t="s" s="1">
        <v>2140</v>
      </c>
      <c r="K296" t="s" s="1">
        <v>490</v>
      </c>
      <c r="L296" t="s" s="1">
        <v>1618</v>
      </c>
      <c r="M296" t="n" s="5">
        <v>3450.0</v>
      </c>
      <c r="N296" t="n" s="7">
        <v>44529.0</v>
      </c>
      <c r="O296" t="n" s="7">
        <v>44561.0</v>
      </c>
      <c r="P296" t="s" s="1">
        <v>3384</v>
      </c>
    </row>
    <row r="297" spans="1:16">
      <c r="A297" t="n" s="4">
        <v>293</v>
      </c>
      <c r="B297" s="2">
        <f>HYPERLINK("https://my.zakupki.prom.ua/remote/dispatcher/state_purchase_view/31509989", "UA-2021-11-08-001734-b")</f>
        <v/>
      </c>
      <c r="C297" t="s" s="2">
        <v>3102</v>
      </c>
      <c r="D297" s="2">
        <f>HYPERLINK("https://my.zakupki.prom.ua/remote/dispatcher/state_contracting_view/11194760", "UA-2021-11-08-001734-b-b1")</f>
        <v/>
      </c>
      <c r="E297" t="s" s="1">
        <v>384</v>
      </c>
      <c r="F297" t="s" s="1">
        <v>2377</v>
      </c>
      <c r="G297" t="s" s="1">
        <v>2377</v>
      </c>
      <c r="H297" t="s" s="1">
        <v>535</v>
      </c>
      <c r="I297" t="s" s="1">
        <v>2178</v>
      </c>
      <c r="J297" t="s" s="1">
        <v>3161</v>
      </c>
      <c r="K297" t="s" s="1">
        <v>745</v>
      </c>
      <c r="L297" t="s" s="1">
        <v>1529</v>
      </c>
      <c r="M297" t="n" s="5">
        <v>1650.0</v>
      </c>
      <c r="N297" t="n" s="7">
        <v>44508.0</v>
      </c>
      <c r="O297" t="n" s="7">
        <v>44561.0</v>
      </c>
      <c r="P297" t="s" s="1">
        <v>3384</v>
      </c>
    </row>
    <row r="298" spans="1:16">
      <c r="A298" t="n" s="4">
        <v>294</v>
      </c>
      <c r="B298" s="2">
        <f>HYPERLINK("https://my.zakupki.prom.ua/remote/dispatcher/state_purchase_view/31709476", "UA-2021-11-12-001018-a")</f>
        <v/>
      </c>
      <c r="C298" t="s" s="2">
        <v>3102</v>
      </c>
      <c r="D298" s="2">
        <f>HYPERLINK("https://my.zakupki.prom.ua/remote/dispatcher/state_contracting_view/11285886", "UA-2021-11-12-001018-a-a1")</f>
        <v/>
      </c>
      <c r="E298" t="s" s="1">
        <v>158</v>
      </c>
      <c r="F298" t="s" s="1">
        <v>2345</v>
      </c>
      <c r="G298" t="s" s="1">
        <v>2177</v>
      </c>
      <c r="H298" t="s" s="1">
        <v>478</v>
      </c>
      <c r="I298" t="s" s="1">
        <v>2178</v>
      </c>
      <c r="J298" t="s" s="1">
        <v>3245</v>
      </c>
      <c r="K298" t="s" s="1">
        <v>771</v>
      </c>
      <c r="L298" t="s" s="1">
        <v>1031</v>
      </c>
      <c r="M298" t="n" s="5">
        <v>18993.0</v>
      </c>
      <c r="N298" t="n" s="7">
        <v>44512.0</v>
      </c>
      <c r="O298" t="n" s="7">
        <v>44561.0</v>
      </c>
      <c r="P298" t="s" s="1">
        <v>3384</v>
      </c>
    </row>
    <row r="299" spans="1:16">
      <c r="A299" t="n" s="4">
        <v>295</v>
      </c>
      <c r="B299" s="2">
        <f>HYPERLINK("https://my.zakupki.prom.ua/remote/dispatcher/state_purchase_view/31363415", "UA-2021-11-03-001467-a")</f>
        <v/>
      </c>
      <c r="C299" t="s" s="2">
        <v>3102</v>
      </c>
      <c r="D299" s="2">
        <f>HYPERLINK("https://my.zakupki.prom.ua/remote/dispatcher/state_contracting_view/11127271", "UA-2021-11-03-001467-a-a1")</f>
        <v/>
      </c>
      <c r="E299" t="s" s="1">
        <v>1817</v>
      </c>
      <c r="F299" t="s" s="1">
        <v>2375</v>
      </c>
      <c r="G299" t="s" s="1">
        <v>2375</v>
      </c>
      <c r="H299" t="s" s="1">
        <v>535</v>
      </c>
      <c r="I299" t="s" s="1">
        <v>2178</v>
      </c>
      <c r="J299" t="s" s="1">
        <v>3087</v>
      </c>
      <c r="K299" t="s" s="1">
        <v>558</v>
      </c>
      <c r="L299" t="s" s="1">
        <v>1528</v>
      </c>
      <c r="M299" t="n" s="5">
        <v>7350.36</v>
      </c>
      <c r="N299" t="n" s="7">
        <v>44502.0</v>
      </c>
      <c r="O299" t="n" s="7">
        <v>44561.0</v>
      </c>
      <c r="P299" t="s" s="1">
        <v>3384</v>
      </c>
    </row>
    <row r="300" spans="1:16">
      <c r="A300" t="n" s="4">
        <v>296</v>
      </c>
      <c r="B300" s="2">
        <f>HYPERLINK("https://my.zakupki.prom.ua/remote/dispatcher/state_purchase_view/33712015", "UA-2021-12-24-010916-c")</f>
        <v/>
      </c>
      <c r="C300" t="s" s="2">
        <v>3102</v>
      </c>
      <c r="D300" s="2">
        <f>HYPERLINK("https://my.zakupki.prom.ua/remote/dispatcher/state_contracting_view/12232067", "UA-2021-12-24-010916-c-c1")</f>
        <v/>
      </c>
      <c r="E300" t="s" s="1">
        <v>950</v>
      </c>
      <c r="F300" t="s" s="1">
        <v>2433</v>
      </c>
      <c r="G300" t="s" s="1">
        <v>3093</v>
      </c>
      <c r="H300" t="s" s="1">
        <v>696</v>
      </c>
      <c r="I300" t="s" s="1">
        <v>2178</v>
      </c>
      <c r="J300" t="s" s="1">
        <v>2145</v>
      </c>
      <c r="K300" t="s" s="1">
        <v>801</v>
      </c>
      <c r="L300" t="s" s="1">
        <v>129</v>
      </c>
      <c r="M300" t="n" s="5">
        <v>840.0</v>
      </c>
      <c r="N300" t="n" s="7">
        <v>44554.0</v>
      </c>
      <c r="O300" t="n" s="7">
        <v>44561.0</v>
      </c>
      <c r="P300" t="s" s="1">
        <v>3384</v>
      </c>
    </row>
    <row r="301" spans="1:16">
      <c r="A301" t="n" s="4">
        <v>297</v>
      </c>
      <c r="B301" s="2">
        <f>HYPERLINK("https://my.zakupki.prom.ua/remote/dispatcher/state_purchase_view/33387638", "UA-2021-12-20-008965-c")</f>
        <v/>
      </c>
      <c r="C301" t="s" s="2">
        <v>3102</v>
      </c>
      <c r="D301" s="2">
        <f>HYPERLINK("https://my.zakupki.prom.ua/remote/dispatcher/state_contracting_view/12072095", "UA-2021-12-20-008965-c-c1")</f>
        <v/>
      </c>
      <c r="E301" t="s" s="1">
        <v>2110</v>
      </c>
      <c r="F301" t="s" s="1">
        <v>2738</v>
      </c>
      <c r="G301" t="s" s="1">
        <v>3141</v>
      </c>
      <c r="H301" t="s" s="1">
        <v>871</v>
      </c>
      <c r="I301" t="s" s="1">
        <v>2178</v>
      </c>
      <c r="J301" t="s" s="1">
        <v>2163</v>
      </c>
      <c r="K301" t="s" s="1">
        <v>724</v>
      </c>
      <c r="L301" t="s" s="1">
        <v>426</v>
      </c>
      <c r="M301" t="n" s="5">
        <v>1122.0</v>
      </c>
      <c r="N301" t="n" s="7">
        <v>44547.0</v>
      </c>
      <c r="O301" t="n" s="7">
        <v>44561.0</v>
      </c>
      <c r="P301" t="s" s="1">
        <v>3384</v>
      </c>
    </row>
    <row r="302" spans="1:16">
      <c r="A302" t="n" s="4">
        <v>298</v>
      </c>
      <c r="B302" s="2">
        <f>HYPERLINK("https://my.zakupki.prom.ua/remote/dispatcher/state_purchase_view/32569833", "UA-2021-12-03-012109-c")</f>
        <v/>
      </c>
      <c r="C302" t="s" s="2">
        <v>3102</v>
      </c>
      <c r="D302" s="2">
        <f>HYPERLINK("https://my.zakupki.prom.ua/remote/dispatcher/state_contracting_view/11682734", "UA-2021-12-03-012109-c-c1")</f>
        <v/>
      </c>
      <c r="E302" t="s" s="1">
        <v>1738</v>
      </c>
      <c r="F302" t="s" s="1">
        <v>2723</v>
      </c>
      <c r="G302" t="s" s="1">
        <v>2723</v>
      </c>
      <c r="H302" t="s" s="1">
        <v>788</v>
      </c>
      <c r="I302" t="s" s="1">
        <v>2178</v>
      </c>
      <c r="J302" t="s" s="1">
        <v>3205</v>
      </c>
      <c r="K302" t="s" s="1">
        <v>820</v>
      </c>
      <c r="L302" t="s" s="1">
        <v>1626</v>
      </c>
      <c r="M302" t="n" s="5">
        <v>15000.0</v>
      </c>
      <c r="N302" t="n" s="7">
        <v>44533.0</v>
      </c>
      <c r="O302" t="n" s="7">
        <v>44561.0</v>
      </c>
      <c r="P302" t="s" s="1">
        <v>3384</v>
      </c>
    </row>
    <row r="303" spans="1:16">
      <c r="A303" t="n" s="4">
        <v>299</v>
      </c>
      <c r="B303" s="2">
        <f>HYPERLINK("https://my.zakupki.prom.ua/remote/dispatcher/state_purchase_view/23995192", "UA-2021-02-15-000670-c")</f>
        <v/>
      </c>
      <c r="C303" t="s" s="2">
        <v>3102</v>
      </c>
      <c r="D303" s="2">
        <f>HYPERLINK("https://my.zakupki.prom.ua/remote/dispatcher/state_contracting_view/7664453", "UA-2021-02-15-000670-c-c1")</f>
        <v/>
      </c>
      <c r="E303" t="s" s="1">
        <v>1520</v>
      </c>
      <c r="F303" t="s" s="1">
        <v>2678</v>
      </c>
      <c r="G303" t="s" s="1">
        <v>3511</v>
      </c>
      <c r="H303" t="s" s="1">
        <v>774</v>
      </c>
      <c r="I303" t="s" s="1">
        <v>2178</v>
      </c>
      <c r="J303" t="s" s="1">
        <v>3277</v>
      </c>
      <c r="K303" t="s" s="1">
        <v>519</v>
      </c>
      <c r="L303" t="s" s="1">
        <v>1745</v>
      </c>
      <c r="M303" t="n" s="5">
        <v>129285.18</v>
      </c>
      <c r="N303" t="n" s="7">
        <v>44238.0</v>
      </c>
      <c r="O303" t="n" s="7">
        <v>44561.0</v>
      </c>
      <c r="P303" t="s" s="1">
        <v>3384</v>
      </c>
    </row>
    <row r="304" spans="1:16">
      <c r="A304" t="n" s="4">
        <v>300</v>
      </c>
      <c r="B304" s="2">
        <f>HYPERLINK("https://my.zakupki.prom.ua/remote/dispatcher/state_purchase_view/24433438", "UA-2021-02-26-004349-a")</f>
        <v/>
      </c>
      <c r="C304" t="s" s="2">
        <v>3102</v>
      </c>
      <c r="D304" s="2">
        <f>HYPERLINK("https://my.zakupki.prom.ua/remote/dispatcher/state_contracting_view/8187449", "UA-2021-02-26-004349-a-b1")</f>
        <v/>
      </c>
      <c r="E304" t="s" s="1">
        <v>1670</v>
      </c>
      <c r="F304" t="s" s="1">
        <v>2480</v>
      </c>
      <c r="G304" t="s" s="1">
        <v>2479</v>
      </c>
      <c r="H304" t="s" s="1">
        <v>758</v>
      </c>
      <c r="I304" t="s" s="1">
        <v>3171</v>
      </c>
      <c r="J304" t="s" s="1">
        <v>3148</v>
      </c>
      <c r="K304" t="s" s="1">
        <v>595</v>
      </c>
      <c r="L304" t="s" s="1">
        <v>557</v>
      </c>
      <c r="M304" t="n" s="5">
        <v>109500.0</v>
      </c>
      <c r="N304" t="n" s="7">
        <v>44277.0</v>
      </c>
      <c r="O304" t="n" s="7">
        <v>44561.0</v>
      </c>
      <c r="P304" t="s" s="1">
        <v>3384</v>
      </c>
    </row>
    <row r="305" spans="1:16">
      <c r="A305" t="n" s="4">
        <v>301</v>
      </c>
      <c r="B305" s="2">
        <f>HYPERLINK("https://my.zakupki.prom.ua/remote/dispatcher/state_purchase_view/23304253", "UA-2021-01-27-000839-b")</f>
        <v/>
      </c>
      <c r="C305" t="s" s="2">
        <v>3102</v>
      </c>
      <c r="D305" s="2">
        <f>HYPERLINK("https://my.zakupki.prom.ua/remote/dispatcher/state_contracting_view/7369027", "UA-2021-01-27-000839-b-b1")</f>
        <v/>
      </c>
      <c r="E305" t="s" s="1">
        <v>1944</v>
      </c>
      <c r="F305" t="s" s="1">
        <v>3034</v>
      </c>
      <c r="G305" t="s" s="1">
        <v>3034</v>
      </c>
      <c r="H305" t="s" s="1">
        <v>1758</v>
      </c>
      <c r="I305" t="s" s="1">
        <v>2178</v>
      </c>
      <c r="J305" t="s" s="1">
        <v>2122</v>
      </c>
      <c r="K305" t="s" s="1">
        <v>74</v>
      </c>
      <c r="L305" t="s" s="1">
        <v>332</v>
      </c>
      <c r="M305" t="n" s="5">
        <v>8640.0</v>
      </c>
      <c r="N305" t="n" s="7">
        <v>44223.0</v>
      </c>
      <c r="O305" t="n" s="7">
        <v>44561.0</v>
      </c>
      <c r="P305" t="s" s="1">
        <v>3384</v>
      </c>
    </row>
    <row r="306" spans="1:16">
      <c r="A306" t="n" s="4">
        <v>302</v>
      </c>
      <c r="B306" s="2">
        <f>HYPERLINK("https://my.zakupki.prom.ua/remote/dispatcher/state_purchase_view/30295328", "UA-2021-09-28-004088-b")</f>
        <v/>
      </c>
      <c r="C306" t="s" s="2">
        <v>3102</v>
      </c>
      <c r="D306" s="2">
        <f>HYPERLINK("https://my.zakupki.prom.ua/remote/dispatcher/state_contracting_view/10636953", "UA-2021-09-28-004088-b-b1")</f>
        <v/>
      </c>
      <c r="E306" t="s" s="1">
        <v>1848</v>
      </c>
      <c r="F306" t="s" s="1">
        <v>2906</v>
      </c>
      <c r="G306" t="s" s="1">
        <v>2906</v>
      </c>
      <c r="H306" t="s" s="1">
        <v>1168</v>
      </c>
      <c r="I306" t="s" s="1">
        <v>2178</v>
      </c>
      <c r="J306" t="s" s="1">
        <v>3303</v>
      </c>
      <c r="K306" t="s" s="1">
        <v>483</v>
      </c>
      <c r="L306" t="s" s="1">
        <v>1481</v>
      </c>
      <c r="M306" t="n" s="5">
        <v>3483.0</v>
      </c>
      <c r="N306" t="n" s="7">
        <v>44467.0</v>
      </c>
      <c r="O306" t="n" s="7">
        <v>44561.0</v>
      </c>
      <c r="P306" t="s" s="1">
        <v>3384</v>
      </c>
    </row>
    <row r="307" spans="1:16">
      <c r="A307" t="n" s="4">
        <v>303</v>
      </c>
      <c r="B307" s="2">
        <f>HYPERLINK("https://my.zakupki.prom.ua/remote/dispatcher/state_purchase_view/26107752", "UA-2021-04-23-005915-b")</f>
        <v/>
      </c>
      <c r="C307" t="s" s="2">
        <v>3102</v>
      </c>
      <c r="D307" s="2">
        <f>HYPERLINK("https://my.zakupki.prom.ua/remote/dispatcher/state_contracting_view/8665457", "UA-2021-04-23-005915-b-b1")</f>
        <v/>
      </c>
      <c r="E307" t="s" s="1">
        <v>1409</v>
      </c>
      <c r="F307" t="s" s="1">
        <v>2252</v>
      </c>
      <c r="G307" t="s" s="1">
        <v>2252</v>
      </c>
      <c r="H307" t="s" s="1">
        <v>246</v>
      </c>
      <c r="I307" t="s" s="1">
        <v>2178</v>
      </c>
      <c r="J307" t="s" s="1">
        <v>3158</v>
      </c>
      <c r="K307" t="s" s="1">
        <v>680</v>
      </c>
      <c r="L307" t="s" s="1">
        <v>1064</v>
      </c>
      <c r="M307" t="n" s="5">
        <v>33000.0</v>
      </c>
      <c r="N307" t="n" s="7">
        <v>44308.0</v>
      </c>
      <c r="O307" t="n" s="7">
        <v>44561.0</v>
      </c>
      <c r="P307" t="s" s="1">
        <v>3384</v>
      </c>
    </row>
    <row r="308" spans="1:16">
      <c r="A308" t="n" s="4">
        <v>304</v>
      </c>
      <c r="B308" s="2">
        <f>HYPERLINK("https://my.zakupki.prom.ua/remote/dispatcher/state_purchase_view/26260420", "UA-2021-04-29-005788-c")</f>
        <v/>
      </c>
      <c r="C308" t="s" s="2">
        <v>3102</v>
      </c>
      <c r="D308" s="2">
        <f>HYPERLINK("https://my.zakupki.prom.ua/remote/dispatcher/state_contracting_view/8739500", "UA-2021-04-29-005788-c-c1")</f>
        <v/>
      </c>
      <c r="E308" t="s" s="1">
        <v>634</v>
      </c>
      <c r="F308" t="s" s="1">
        <v>2461</v>
      </c>
      <c r="G308" t="s" s="1">
        <v>2461</v>
      </c>
      <c r="H308" t="s" s="1">
        <v>711</v>
      </c>
      <c r="I308" t="s" s="1">
        <v>2178</v>
      </c>
      <c r="J308" t="s" s="1">
        <v>3112</v>
      </c>
      <c r="K308" t="s" s="1">
        <v>802</v>
      </c>
      <c r="L308" t="s" s="1">
        <v>686</v>
      </c>
      <c r="M308" t="n" s="5">
        <v>118.5</v>
      </c>
      <c r="N308" t="n" s="7">
        <v>44315.0</v>
      </c>
      <c r="O308" t="n" s="7">
        <v>44561.0</v>
      </c>
      <c r="P308" t="s" s="1">
        <v>3384</v>
      </c>
    </row>
    <row r="309" spans="1:16">
      <c r="A309" t="n" s="4">
        <v>305</v>
      </c>
      <c r="B309" s="2">
        <f>HYPERLINK("https://my.zakupki.prom.ua/remote/dispatcher/state_purchase_view/25603439", "UA-2021-04-07-005720-a")</f>
        <v/>
      </c>
      <c r="C309" t="s" s="2">
        <v>3102</v>
      </c>
      <c r="D309" s="2">
        <f>HYPERLINK("https://my.zakupki.prom.ua/remote/dispatcher/state_contracting_view/8425339", "UA-2021-04-07-005720-a-a1")</f>
        <v/>
      </c>
      <c r="E309" t="s" s="1">
        <v>1458</v>
      </c>
      <c r="F309" t="s" s="1">
        <v>2222</v>
      </c>
      <c r="G309" t="s" s="1">
        <v>2222</v>
      </c>
      <c r="H309" t="s" s="1">
        <v>47</v>
      </c>
      <c r="I309" t="s" s="1">
        <v>2178</v>
      </c>
      <c r="J309" t="s" s="1">
        <v>3342</v>
      </c>
      <c r="K309" t="s" s="1">
        <v>530</v>
      </c>
      <c r="L309" t="s" s="1">
        <v>847</v>
      </c>
      <c r="M309" t="n" s="5">
        <v>6247.0</v>
      </c>
      <c r="N309" t="n" s="7">
        <v>44293.0</v>
      </c>
      <c r="O309" t="n" s="7">
        <v>44561.0</v>
      </c>
      <c r="P309" t="s" s="1">
        <v>3384</v>
      </c>
    </row>
    <row r="310" spans="1:16">
      <c r="A310" t="n" s="4">
        <v>306</v>
      </c>
      <c r="B310" s="2">
        <f>HYPERLINK("https://my.zakupki.prom.ua/remote/dispatcher/state_purchase_view/25372203", "UA-2021-03-30-002174-c")</f>
        <v/>
      </c>
      <c r="C310" t="s" s="2">
        <v>3102</v>
      </c>
      <c r="D310" s="2">
        <f>HYPERLINK("https://my.zakupki.prom.ua/remote/dispatcher/state_contracting_view/8318082", "UA-2021-03-30-002174-c-c1")</f>
        <v/>
      </c>
      <c r="E310" t="s" s="1">
        <v>849</v>
      </c>
      <c r="F310" t="s" s="1">
        <v>2645</v>
      </c>
      <c r="G310" t="s" s="1">
        <v>3442</v>
      </c>
      <c r="H310" t="s" s="1">
        <v>774</v>
      </c>
      <c r="I310" t="s" s="1">
        <v>2178</v>
      </c>
      <c r="J310" t="s" s="1">
        <v>3131</v>
      </c>
      <c r="K310" t="s" s="1">
        <v>658</v>
      </c>
      <c r="L310" t="s" s="1">
        <v>489</v>
      </c>
      <c r="M310" t="n" s="5">
        <v>68900.0</v>
      </c>
      <c r="N310" t="n" s="7">
        <v>44285.0</v>
      </c>
      <c r="O310" t="n" s="7">
        <v>44561.0</v>
      </c>
      <c r="P310" t="s" s="1">
        <v>3384</v>
      </c>
    </row>
    <row r="311" spans="1:16">
      <c r="A311" t="n" s="4">
        <v>307</v>
      </c>
      <c r="B311" s="2">
        <f>HYPERLINK("https://my.zakupki.prom.ua/remote/dispatcher/state_purchase_view/25355884", "UA-2021-03-29-005195-b")</f>
        <v/>
      </c>
      <c r="C311" t="s" s="2">
        <v>3102</v>
      </c>
      <c r="D311" s="2">
        <f>HYPERLINK("https://my.zakupki.prom.ua/remote/dispatcher/state_contracting_view/8308469", "UA-2021-03-29-005195-b-b1")</f>
        <v/>
      </c>
      <c r="E311" t="s" s="1">
        <v>269</v>
      </c>
      <c r="F311" t="s" s="1">
        <v>2578</v>
      </c>
      <c r="G311" t="s" s="1">
        <v>3099</v>
      </c>
      <c r="H311" t="s" s="1">
        <v>774</v>
      </c>
      <c r="I311" t="s" s="1">
        <v>2178</v>
      </c>
      <c r="J311" t="s" s="1">
        <v>3285</v>
      </c>
      <c r="K311" t="s" s="1">
        <v>463</v>
      </c>
      <c r="L311" t="s" s="1">
        <v>322</v>
      </c>
      <c r="M311" t="n" s="5">
        <v>11424.0</v>
      </c>
      <c r="N311" t="n" s="7">
        <v>44284.0</v>
      </c>
      <c r="O311" t="n" s="7">
        <v>44561.0</v>
      </c>
      <c r="P311" t="s" s="1">
        <v>3384</v>
      </c>
    </row>
    <row r="312" spans="1:16">
      <c r="A312" t="n" s="4">
        <v>308</v>
      </c>
      <c r="B312" s="2">
        <f>HYPERLINK("https://my.zakupki.prom.ua/remote/dispatcher/state_purchase_view/25269139", "UA-2021-03-26-012353-c")</f>
        <v/>
      </c>
      <c r="C312" t="s" s="2">
        <v>3102</v>
      </c>
      <c r="D312" s="2">
        <f>HYPERLINK("https://my.zakupki.prom.ua/remote/dispatcher/state_contracting_view/8286929", "UA-2021-03-26-012353-c-c1")</f>
        <v/>
      </c>
      <c r="E312" t="s" s="1">
        <v>1972</v>
      </c>
      <c r="F312" t="s" s="1">
        <v>2571</v>
      </c>
      <c r="G312" t="s" s="1">
        <v>2571</v>
      </c>
      <c r="H312" t="s" s="1">
        <v>774</v>
      </c>
      <c r="I312" t="s" s="1">
        <v>2178</v>
      </c>
      <c r="J312" t="s" s="1">
        <v>3131</v>
      </c>
      <c r="K312" t="s" s="1">
        <v>658</v>
      </c>
      <c r="L312" t="s" s="1">
        <v>480</v>
      </c>
      <c r="M312" t="n" s="5">
        <v>12250.0</v>
      </c>
      <c r="N312" t="n" s="7">
        <v>44281.0</v>
      </c>
      <c r="O312" t="n" s="7">
        <v>44561.0</v>
      </c>
      <c r="P312" t="s" s="1">
        <v>3384</v>
      </c>
    </row>
    <row r="313" spans="1:16">
      <c r="A313" t="n" s="4">
        <v>309</v>
      </c>
      <c r="B313" s="2">
        <f>HYPERLINK("https://my.zakupki.prom.ua/remote/dispatcher/state_purchase_view/24764460", "UA-2021-03-10-010912-b")</f>
        <v/>
      </c>
      <c r="C313" t="s" s="2">
        <v>3102</v>
      </c>
      <c r="D313" s="2">
        <f>HYPERLINK("https://my.zakupki.prom.ua/remote/dispatcher/state_contracting_view/8023642", "UA-2021-03-10-010912-b-b1")</f>
        <v/>
      </c>
      <c r="E313" t="s" s="1">
        <v>1777</v>
      </c>
      <c r="F313" t="s" s="1">
        <v>2632</v>
      </c>
      <c r="G313" t="s" s="1">
        <v>2632</v>
      </c>
      <c r="H313" t="s" s="1">
        <v>774</v>
      </c>
      <c r="I313" t="s" s="1">
        <v>2178</v>
      </c>
      <c r="J313" t="s" s="1">
        <v>3302</v>
      </c>
      <c r="K313" t="s" s="1">
        <v>853</v>
      </c>
      <c r="L313" t="s" s="1">
        <v>3324</v>
      </c>
      <c r="M313" t="n" s="5">
        <v>25000.0</v>
      </c>
      <c r="N313" t="n" s="7">
        <v>44265.0</v>
      </c>
      <c r="O313" t="n" s="7">
        <v>44561.0</v>
      </c>
      <c r="P313" t="s" s="1">
        <v>3384</v>
      </c>
    </row>
    <row r="314" spans="1:16">
      <c r="A314" t="n" s="4">
        <v>310</v>
      </c>
      <c r="B314" s="2">
        <f>HYPERLINK("https://my.zakupki.prom.ua/remote/dispatcher/state_purchase_view/26087297", "UA-2021-04-23-000666-a")</f>
        <v/>
      </c>
      <c r="C314" t="s" s="2">
        <v>3102</v>
      </c>
      <c r="D314" s="2">
        <f>HYPERLINK("https://my.zakupki.prom.ua/remote/dispatcher/state_contracting_view/8655138", "UA-2021-04-23-000666-a-a1")</f>
        <v/>
      </c>
      <c r="E314" t="s" s="1">
        <v>1398</v>
      </c>
      <c r="F314" t="s" s="1">
        <v>2590</v>
      </c>
      <c r="G314" t="s" s="1">
        <v>3347</v>
      </c>
      <c r="H314" t="s" s="1">
        <v>774</v>
      </c>
      <c r="I314" t="s" s="1">
        <v>2178</v>
      </c>
      <c r="J314" t="s" s="1">
        <v>3277</v>
      </c>
      <c r="K314" t="s" s="1">
        <v>519</v>
      </c>
      <c r="L314" t="s" s="1">
        <v>1038</v>
      </c>
      <c r="M314" t="n" s="5">
        <v>71389.1</v>
      </c>
      <c r="N314" t="n" s="7">
        <v>44308.0</v>
      </c>
      <c r="O314" t="n" s="7">
        <v>44561.0</v>
      </c>
      <c r="P314" t="s" s="1">
        <v>3384</v>
      </c>
    </row>
    <row r="315" spans="1:16">
      <c r="A315" t="n" s="4">
        <v>311</v>
      </c>
      <c r="B315" s="2">
        <f>HYPERLINK("https://my.zakupki.prom.ua/remote/dispatcher/state_purchase_view/25270087", "UA-2021-03-26-012883-c")</f>
        <v/>
      </c>
      <c r="C315" t="s" s="2">
        <v>3102</v>
      </c>
      <c r="D315" s="2">
        <f>HYPERLINK("https://my.zakupki.prom.ua/remote/dispatcher/state_contracting_view/8287110", "UA-2021-03-26-012883-c-c1")</f>
        <v/>
      </c>
      <c r="E315" t="s" s="1">
        <v>1747</v>
      </c>
      <c r="F315" t="s" s="1">
        <v>2304</v>
      </c>
      <c r="G315" t="s" s="1">
        <v>2304</v>
      </c>
      <c r="H315" t="s" s="1">
        <v>277</v>
      </c>
      <c r="I315" t="s" s="1">
        <v>2178</v>
      </c>
      <c r="J315" t="s" s="1">
        <v>3356</v>
      </c>
      <c r="K315" t="s" s="1">
        <v>814</v>
      </c>
      <c r="L315" t="s" s="1">
        <v>624</v>
      </c>
      <c r="M315" t="n" s="5">
        <v>7770.0</v>
      </c>
      <c r="N315" t="n" s="7">
        <v>44281.0</v>
      </c>
      <c r="O315" t="n" s="7">
        <v>44561.0</v>
      </c>
      <c r="P315" t="s" s="1">
        <v>3384</v>
      </c>
    </row>
    <row r="316" spans="1:16">
      <c r="A316" t="n" s="4">
        <v>312</v>
      </c>
      <c r="B316" s="2">
        <f>HYPERLINK("https://my.zakupki.prom.ua/remote/dispatcher/state_purchase_view/25383045", "UA-2021-03-30-002080-a")</f>
        <v/>
      </c>
      <c r="C316" t="s" s="2">
        <v>3102</v>
      </c>
      <c r="D316" s="2">
        <f>HYPERLINK("https://my.zakupki.prom.ua/remote/dispatcher/state_contracting_view/8320847", "UA-2021-03-30-002080-a-a1")</f>
        <v/>
      </c>
      <c r="E316" t="s" s="1">
        <v>948</v>
      </c>
      <c r="F316" t="s" s="1">
        <v>2257</v>
      </c>
      <c r="G316" t="s" s="1">
        <v>2257</v>
      </c>
      <c r="H316" t="s" s="1">
        <v>253</v>
      </c>
      <c r="I316" t="s" s="1">
        <v>2178</v>
      </c>
      <c r="J316" t="s" s="1">
        <v>3356</v>
      </c>
      <c r="K316" t="s" s="1">
        <v>814</v>
      </c>
      <c r="L316" t="s" s="1">
        <v>681</v>
      </c>
      <c r="M316" t="n" s="5">
        <v>4980.0</v>
      </c>
      <c r="N316" t="n" s="7">
        <v>44285.0</v>
      </c>
      <c r="O316" t="n" s="7">
        <v>44561.0</v>
      </c>
      <c r="P316" t="s" s="1">
        <v>3384</v>
      </c>
    </row>
    <row r="317" spans="1:16">
      <c r="A317" t="n" s="4">
        <v>313</v>
      </c>
      <c r="B317" s="2">
        <f>HYPERLINK("https://my.zakupki.prom.ua/remote/dispatcher/state_purchase_view/25260245", "UA-2021-03-26-003215-a")</f>
        <v/>
      </c>
      <c r="C317" t="s" s="2">
        <v>3102</v>
      </c>
      <c r="D317" s="2">
        <f>HYPERLINK("https://my.zakupki.prom.ua/remote/dispatcher/state_contracting_view/8281031", "UA-2021-03-26-003215-a-a1")</f>
        <v/>
      </c>
      <c r="E317" t="s" s="1">
        <v>1979</v>
      </c>
      <c r="F317" t="s" s="1">
        <v>2828</v>
      </c>
      <c r="G317" t="s" s="1">
        <v>3460</v>
      </c>
      <c r="H317" t="s" s="1">
        <v>1062</v>
      </c>
      <c r="I317" t="s" s="1">
        <v>2178</v>
      </c>
      <c r="J317" t="s" s="1">
        <v>3112</v>
      </c>
      <c r="K317" t="s" s="1">
        <v>802</v>
      </c>
      <c r="L317" t="s" s="1">
        <v>237</v>
      </c>
      <c r="M317" t="n" s="5">
        <v>6318.0</v>
      </c>
      <c r="N317" t="n" s="7">
        <v>44281.0</v>
      </c>
      <c r="O317" t="n" s="7">
        <v>44561.0</v>
      </c>
      <c r="P317" t="s" s="1">
        <v>3384</v>
      </c>
    </row>
    <row r="318" spans="1:16">
      <c r="A318" t="n" s="4">
        <v>314</v>
      </c>
      <c r="B318" s="2">
        <f>HYPERLINK("https://my.zakupki.prom.ua/remote/dispatcher/state_purchase_view/25615938", "UA-2021-04-07-003559-b")</f>
        <v/>
      </c>
      <c r="C318" t="s" s="2">
        <v>3102</v>
      </c>
      <c r="D318" s="2">
        <f>HYPERLINK("https://my.zakupki.prom.ua/remote/dispatcher/state_contracting_view/8814264", "UA-2021-04-07-003559-b-a1")</f>
        <v/>
      </c>
      <c r="E318" t="s" s="1">
        <v>1695</v>
      </c>
      <c r="F318" t="s" s="1">
        <v>2597</v>
      </c>
      <c r="G318" t="s" s="1">
        <v>3349</v>
      </c>
      <c r="H318" t="s" s="1">
        <v>774</v>
      </c>
      <c r="I318" t="s" s="1">
        <v>2142</v>
      </c>
      <c r="J318" t="s" s="1">
        <v>3120</v>
      </c>
      <c r="K318" t="s" s="1">
        <v>658</v>
      </c>
      <c r="L318" t="s" s="1">
        <v>609</v>
      </c>
      <c r="M318" t="n" s="5">
        <v>279976.66</v>
      </c>
      <c r="N318" t="n" s="7">
        <v>44327.0</v>
      </c>
      <c r="O318" t="n" s="7">
        <v>44561.0</v>
      </c>
      <c r="P318" t="s" s="1">
        <v>3384</v>
      </c>
    </row>
    <row r="319" spans="1:16">
      <c r="A319" t="n" s="4">
        <v>315</v>
      </c>
      <c r="B319" s="2">
        <f>HYPERLINK("https://my.zakupki.prom.ua/remote/dispatcher/state_purchase_view/25563908", "UA-2021-04-06-001967-b")</f>
        <v/>
      </c>
      <c r="C319" t="s" s="2">
        <v>3102</v>
      </c>
      <c r="D319" s="2">
        <f>HYPERLINK("https://my.zakupki.prom.ua/remote/dispatcher/state_contracting_view/8409178", "UA-2021-04-06-001967-b-b1")</f>
        <v/>
      </c>
      <c r="E319" t="s" s="1">
        <v>1993</v>
      </c>
      <c r="F319" t="s" s="1">
        <v>2699</v>
      </c>
      <c r="G319" t="s" s="1">
        <v>3527</v>
      </c>
      <c r="H319" t="s" s="1">
        <v>774</v>
      </c>
      <c r="I319" t="s" s="1">
        <v>2178</v>
      </c>
      <c r="J319" t="s" s="1">
        <v>3277</v>
      </c>
      <c r="K319" t="s" s="1">
        <v>519</v>
      </c>
      <c r="L319" t="s" s="1">
        <v>827</v>
      </c>
      <c r="M319" t="n" s="5">
        <v>2265.6</v>
      </c>
      <c r="N319" t="n" s="7">
        <v>44292.0</v>
      </c>
      <c r="O319" t="n" s="7">
        <v>44561.0</v>
      </c>
      <c r="P319" t="s" s="1">
        <v>3384</v>
      </c>
    </row>
    <row r="320" spans="1:16">
      <c r="A320" t="n" s="4">
        <v>316</v>
      </c>
      <c r="B320" s="2">
        <f>HYPERLINK("https://my.zakupki.prom.ua/remote/dispatcher/state_purchase_view/26276236", "UA-2021-04-30-000398-a")</f>
        <v/>
      </c>
      <c r="C320" t="s" s="2">
        <v>3102</v>
      </c>
      <c r="D320" s="2">
        <f>HYPERLINK("https://my.zakupki.prom.ua/remote/dispatcher/state_contracting_view/8746818", "UA-2021-04-30-000398-a-a1")</f>
        <v/>
      </c>
      <c r="E320" t="s" s="1">
        <v>1898</v>
      </c>
      <c r="F320" t="s" s="1">
        <v>2779</v>
      </c>
      <c r="G320" t="s" s="1">
        <v>2779</v>
      </c>
      <c r="H320" t="s" s="1">
        <v>930</v>
      </c>
      <c r="I320" t="s" s="1">
        <v>2178</v>
      </c>
      <c r="J320" t="s" s="1">
        <v>3112</v>
      </c>
      <c r="K320" t="s" s="1">
        <v>802</v>
      </c>
      <c r="L320" t="s" s="1">
        <v>600</v>
      </c>
      <c r="M320" t="n" s="5">
        <v>52.65</v>
      </c>
      <c r="N320" t="n" s="7">
        <v>44315.0</v>
      </c>
      <c r="O320" t="n" s="7">
        <v>44561.0</v>
      </c>
      <c r="P320" t="s" s="1">
        <v>3384</v>
      </c>
    </row>
    <row r="321" spans="1:16">
      <c r="A321" t="n" s="4">
        <v>317</v>
      </c>
      <c r="B321" s="2">
        <f>HYPERLINK("https://my.zakupki.prom.ua/remote/dispatcher/state_purchase_view/25683852", "UA-2021-04-09-003154-c")</f>
        <v/>
      </c>
      <c r="C321" t="s" s="2">
        <v>3102</v>
      </c>
      <c r="D321" s="2">
        <f>HYPERLINK("https://my.zakupki.prom.ua/remote/dispatcher/state_contracting_view/8467492", "UA-2021-04-09-003154-c-c1")</f>
        <v/>
      </c>
      <c r="E321" t="s" s="1">
        <v>1887</v>
      </c>
      <c r="F321" t="s" s="1">
        <v>2521</v>
      </c>
      <c r="G321" t="s" s="1">
        <v>3473</v>
      </c>
      <c r="H321" t="s" s="1">
        <v>759</v>
      </c>
      <c r="I321" t="s" s="1">
        <v>2178</v>
      </c>
      <c r="J321" t="s" s="1">
        <v>3125</v>
      </c>
      <c r="K321" t="s" s="1">
        <v>826</v>
      </c>
      <c r="L321" t="s" s="1">
        <v>32</v>
      </c>
      <c r="M321" t="n" s="5">
        <v>75600.0</v>
      </c>
      <c r="N321" t="n" s="7">
        <v>44293.0</v>
      </c>
      <c r="O321" t="n" s="7">
        <v>44561.0</v>
      </c>
      <c r="P321" t="s" s="1">
        <v>3384</v>
      </c>
    </row>
    <row r="322" spans="1:16">
      <c r="A322" t="n" s="4">
        <v>318</v>
      </c>
      <c r="B322" s="2">
        <f>HYPERLINK("https://my.zakupki.prom.ua/remote/dispatcher/state_purchase_view/25663508", "UA-2021-04-08-006243-a")</f>
        <v/>
      </c>
      <c r="C322" t="s" s="2">
        <v>3102</v>
      </c>
      <c r="D322" s="2">
        <f>HYPERLINK("https://my.zakupki.prom.ua/remote/dispatcher/state_contracting_view/8453852", "UA-2021-04-08-006243-a-a1")</f>
        <v/>
      </c>
      <c r="E322" t="s" s="1">
        <v>2094</v>
      </c>
      <c r="F322" t="s" s="1">
        <v>2256</v>
      </c>
      <c r="G322" t="s" s="1">
        <v>2256</v>
      </c>
      <c r="H322" t="s" s="1">
        <v>252</v>
      </c>
      <c r="I322" t="s" s="1">
        <v>2178</v>
      </c>
      <c r="J322" t="s" s="1">
        <v>3356</v>
      </c>
      <c r="K322" t="s" s="1">
        <v>814</v>
      </c>
      <c r="L322" t="s" s="1">
        <v>918</v>
      </c>
      <c r="M322" t="n" s="5">
        <v>11900.0</v>
      </c>
      <c r="N322" t="n" s="7">
        <v>44294.0</v>
      </c>
      <c r="O322" t="n" s="7">
        <v>44561.0</v>
      </c>
      <c r="P322" t="s" s="1">
        <v>3384</v>
      </c>
    </row>
    <row r="323" spans="1:16">
      <c r="A323" t="n" s="4">
        <v>319</v>
      </c>
      <c r="B323" s="2">
        <f>HYPERLINK("https://my.zakupki.prom.ua/remote/dispatcher/state_purchase_view/25774870", "UA-2021-04-13-004577-a")</f>
        <v/>
      </c>
      <c r="C323" t="s" s="2">
        <v>3102</v>
      </c>
      <c r="D323" s="2">
        <f>HYPERLINK("https://my.zakupki.prom.ua/remote/dispatcher/state_contracting_view/8506861", "UA-2021-04-13-004577-a-a1")</f>
        <v/>
      </c>
      <c r="E323" t="s" s="1">
        <v>1767</v>
      </c>
      <c r="F323" t="s" s="1">
        <v>2258</v>
      </c>
      <c r="G323" t="s" s="1">
        <v>2258</v>
      </c>
      <c r="H323" t="s" s="1">
        <v>253</v>
      </c>
      <c r="I323" t="s" s="1">
        <v>2178</v>
      </c>
      <c r="J323" t="s" s="1">
        <v>3356</v>
      </c>
      <c r="K323" t="s" s="1">
        <v>814</v>
      </c>
      <c r="L323" t="s" s="1">
        <v>977</v>
      </c>
      <c r="M323" t="n" s="5">
        <v>4980.0</v>
      </c>
      <c r="N323" t="n" s="7">
        <v>44298.0</v>
      </c>
      <c r="O323" t="n" s="7">
        <v>44561.0</v>
      </c>
      <c r="P323" t="s" s="1">
        <v>3384</v>
      </c>
    </row>
    <row r="324" spans="1:16">
      <c r="A324" t="n" s="4">
        <v>320</v>
      </c>
      <c r="B324" s="2">
        <f>HYPERLINK("https://my.zakupki.prom.ua/remote/dispatcher/state_purchase_view/23358108", "UA-2021-01-28-000228-b")</f>
        <v/>
      </c>
      <c r="C324" t="s" s="2">
        <v>3102</v>
      </c>
      <c r="D324" s="2">
        <f>HYPERLINK("https://my.zakupki.prom.ua/remote/dispatcher/state_contracting_view/7377609", "UA-2021-01-28-000228-b-b1")</f>
        <v/>
      </c>
      <c r="E324" t="s" s="1">
        <v>1964</v>
      </c>
      <c r="F324" t="s" s="1">
        <v>2385</v>
      </c>
      <c r="G324" t="s" s="1">
        <v>3389</v>
      </c>
      <c r="H324" t="s" s="1">
        <v>536</v>
      </c>
      <c r="I324" t="s" s="1">
        <v>2178</v>
      </c>
      <c r="J324" t="s" s="1">
        <v>3306</v>
      </c>
      <c r="K324" t="s" s="1">
        <v>996</v>
      </c>
      <c r="L324" t="s" s="1">
        <v>3068</v>
      </c>
      <c r="M324" t="n" s="5">
        <v>8970.0</v>
      </c>
      <c r="N324" t="n" s="7">
        <v>44224.0</v>
      </c>
      <c r="O324" t="n" s="7">
        <v>44561.0</v>
      </c>
      <c r="P324" t="s" s="1">
        <v>3384</v>
      </c>
    </row>
    <row r="325" spans="1:16">
      <c r="A325" t="n" s="4">
        <v>321</v>
      </c>
      <c r="B325" s="2">
        <f>HYPERLINK("https://my.zakupki.prom.ua/remote/dispatcher/state_purchase_view/22993043", "UA-2021-01-16-000173-a")</f>
        <v/>
      </c>
      <c r="C325" t="s" s="2">
        <v>3102</v>
      </c>
      <c r="D325" s="2">
        <f>HYPERLINK("https://my.zakupki.prom.ua/remote/dispatcher/state_contracting_view/7234303", "UA-2021-01-16-000173-a-a1")</f>
        <v/>
      </c>
      <c r="E325" t="s" s="1">
        <v>1805</v>
      </c>
      <c r="F325" t="s" s="1">
        <v>2765</v>
      </c>
      <c r="G325" t="s" s="1">
        <v>2765</v>
      </c>
      <c r="H325" t="s" s="1">
        <v>919</v>
      </c>
      <c r="I325" t="s" s="1">
        <v>2178</v>
      </c>
      <c r="J325" t="s" s="1">
        <v>2150</v>
      </c>
      <c r="K325" t="s" s="1">
        <v>733</v>
      </c>
      <c r="L325" t="s" s="1">
        <v>430</v>
      </c>
      <c r="M325" t="n" s="5">
        <v>4272.0</v>
      </c>
      <c r="N325" t="n" s="7">
        <v>44212.0</v>
      </c>
      <c r="O325" t="n" s="7">
        <v>44561.0</v>
      </c>
      <c r="P325" t="s" s="1">
        <v>3384</v>
      </c>
    </row>
    <row r="326" spans="1:16">
      <c r="A326" t="n" s="4">
        <v>322</v>
      </c>
      <c r="B326" s="2">
        <f>HYPERLINK("https://my.zakupki.prom.ua/remote/dispatcher/state_purchase_view/22934166", "UA-2021-01-13-002139-a")</f>
        <v/>
      </c>
      <c r="C326" t="s" s="2">
        <v>3102</v>
      </c>
      <c r="D326" s="2">
        <f>HYPERLINK("https://my.zakupki.prom.ua/remote/dispatcher/state_contracting_view/7214577", "UA-2021-01-13-002139-a-a1")</f>
        <v/>
      </c>
      <c r="E326" t="s" s="1">
        <v>1535</v>
      </c>
      <c r="F326" t="s" s="1">
        <v>2443</v>
      </c>
      <c r="G326" t="s" s="1">
        <v>2443</v>
      </c>
      <c r="H326" t="s" s="1">
        <v>706</v>
      </c>
      <c r="I326" t="s" s="1">
        <v>2178</v>
      </c>
      <c r="J326" t="s" s="1">
        <v>3112</v>
      </c>
      <c r="K326" t="s" s="1">
        <v>802</v>
      </c>
      <c r="L326" t="s" s="1">
        <v>209</v>
      </c>
      <c r="M326" t="n" s="5">
        <v>1240.0</v>
      </c>
      <c r="N326" t="n" s="7">
        <v>44209.0</v>
      </c>
      <c r="O326" t="n" s="7">
        <v>44561.0</v>
      </c>
      <c r="P326" t="s" s="1">
        <v>3384</v>
      </c>
    </row>
    <row r="327" spans="1:16">
      <c r="A327" t="n" s="4">
        <v>323</v>
      </c>
      <c r="B327" s="2">
        <f>HYPERLINK("https://my.zakupki.prom.ua/remote/dispatcher/state_purchase_view/28349441", "UA-2021-07-20-000377-b")</f>
        <v/>
      </c>
      <c r="C327" t="s" s="2">
        <v>3102</v>
      </c>
      <c r="D327" s="2">
        <f>HYPERLINK("https://my.zakupki.prom.ua/remote/dispatcher/state_contracting_view/9731358", "UA-2021-07-20-000377-b-b1")</f>
        <v/>
      </c>
      <c r="E327" t="s" s="1">
        <v>1952</v>
      </c>
      <c r="F327" t="s" s="1">
        <v>2911</v>
      </c>
      <c r="G327" t="s" s="1">
        <v>2911</v>
      </c>
      <c r="H327" t="s" s="1">
        <v>1173</v>
      </c>
      <c r="I327" t="s" s="1">
        <v>2178</v>
      </c>
      <c r="J327" t="s" s="1">
        <v>3089</v>
      </c>
      <c r="K327" t="s" s="1">
        <v>654</v>
      </c>
      <c r="L327" t="s" s="1">
        <v>1353</v>
      </c>
      <c r="M327" t="n" s="5">
        <v>900.0</v>
      </c>
      <c r="N327" t="n" s="7">
        <v>44397.0</v>
      </c>
      <c r="O327" t="n" s="7">
        <v>44561.0</v>
      </c>
      <c r="P327" t="s" s="1">
        <v>3384</v>
      </c>
    </row>
    <row r="328" spans="1:16">
      <c r="A328" t="n" s="4">
        <v>324</v>
      </c>
      <c r="B328" s="2">
        <f>HYPERLINK("https://my.zakupki.prom.ua/remote/dispatcher/state_purchase_view/22942090", "UA-2021-01-13-004722-a")</f>
        <v/>
      </c>
      <c r="C328" t="s" s="2">
        <v>3102</v>
      </c>
      <c r="D328" s="2">
        <f>HYPERLINK("https://my.zakupki.prom.ua/remote/dispatcher/state_contracting_view/7217291", "UA-2021-01-13-004722-a-a1")</f>
        <v/>
      </c>
      <c r="E328" t="s" s="1">
        <v>173</v>
      </c>
      <c r="F328" t="s" s="1">
        <v>2983</v>
      </c>
      <c r="G328" t="s" s="1">
        <v>2983</v>
      </c>
      <c r="H328" t="s" s="1">
        <v>1490</v>
      </c>
      <c r="I328" t="s" s="1">
        <v>2178</v>
      </c>
      <c r="J328" t="s" s="1">
        <v>1159</v>
      </c>
      <c r="K328" t="s" s="1">
        <v>884</v>
      </c>
      <c r="L328" t="s" s="1">
        <v>1313</v>
      </c>
      <c r="M328" t="n" s="5">
        <v>3489.01</v>
      </c>
      <c r="N328" t="n" s="7">
        <v>44209.0</v>
      </c>
      <c r="O328" t="n" s="7">
        <v>44561.0</v>
      </c>
      <c r="P328" t="s" s="1">
        <v>3384</v>
      </c>
    </row>
    <row r="329" spans="1:16">
      <c r="A329" t="n" s="4">
        <v>325</v>
      </c>
      <c r="B329" s="2">
        <f>HYPERLINK("https://my.zakupki.prom.ua/remote/dispatcher/state_purchase_view/22934718", "UA-2021-01-13-002303-a")</f>
        <v/>
      </c>
      <c r="C329" t="s" s="2">
        <v>3102</v>
      </c>
      <c r="D329" s="2">
        <f>HYPERLINK("https://my.zakupki.prom.ua/remote/dispatcher/state_contracting_view/7214730", "UA-2021-01-13-002303-a-a1")</f>
        <v/>
      </c>
      <c r="E329" t="s" s="1">
        <v>1412</v>
      </c>
      <c r="F329" t="s" s="1">
        <v>2862</v>
      </c>
      <c r="G329" t="s" s="1">
        <v>2862</v>
      </c>
      <c r="H329" t="s" s="1">
        <v>1076</v>
      </c>
      <c r="I329" t="s" s="1">
        <v>2178</v>
      </c>
      <c r="J329" t="s" s="1">
        <v>3112</v>
      </c>
      <c r="K329" t="s" s="1">
        <v>802</v>
      </c>
      <c r="L329" t="s" s="1">
        <v>284</v>
      </c>
      <c r="M329" t="n" s="5">
        <v>218.5</v>
      </c>
      <c r="N329" t="n" s="7">
        <v>44209.0</v>
      </c>
      <c r="O329" t="n" s="7">
        <v>44561.0</v>
      </c>
      <c r="P329" t="s" s="1">
        <v>3384</v>
      </c>
    </row>
    <row r="330" spans="1:16">
      <c r="A330" t="n" s="4">
        <v>326</v>
      </c>
      <c r="B330" s="2">
        <f>HYPERLINK("https://my.zakupki.prom.ua/remote/dispatcher/state_purchase_view/22934415", "UA-2021-01-13-002214-a")</f>
        <v/>
      </c>
      <c r="C330" t="s" s="2">
        <v>3102</v>
      </c>
      <c r="D330" s="2">
        <f>HYPERLINK("https://my.zakupki.prom.ua/remote/dispatcher/state_contracting_view/7214682", "UA-2021-01-13-002214-a-a1")</f>
        <v/>
      </c>
      <c r="E330" t="s" s="1">
        <v>1399</v>
      </c>
      <c r="F330" t="s" s="1">
        <v>2405</v>
      </c>
      <c r="G330" t="s" s="1">
        <v>2405</v>
      </c>
      <c r="H330" t="s" s="1">
        <v>552</v>
      </c>
      <c r="I330" t="s" s="1">
        <v>2178</v>
      </c>
      <c r="J330" t="s" s="1">
        <v>3112</v>
      </c>
      <c r="K330" t="s" s="1">
        <v>802</v>
      </c>
      <c r="L330" t="s" s="1">
        <v>236</v>
      </c>
      <c r="M330" t="n" s="5">
        <v>270.25</v>
      </c>
      <c r="N330" t="n" s="7">
        <v>44209.0</v>
      </c>
      <c r="O330" t="n" s="7">
        <v>44561.0</v>
      </c>
      <c r="P330" t="s" s="1">
        <v>3384</v>
      </c>
    </row>
    <row r="331" spans="1:16">
      <c r="A331" t="n" s="4">
        <v>327</v>
      </c>
      <c r="B331" s="2">
        <f>HYPERLINK("https://my.zakupki.prom.ua/remote/dispatcher/state_purchase_view/31792234", "UA-2021-11-15-011469-a")</f>
        <v/>
      </c>
      <c r="C331" t="s" s="2">
        <v>3102</v>
      </c>
      <c r="D331" s="2">
        <f>HYPERLINK("https://my.zakupki.prom.ua/remote/dispatcher/state_contracting_view/11364441", "UA-2021-11-15-011469-a-a1")</f>
        <v/>
      </c>
      <c r="E331" t="s" s="1">
        <v>882</v>
      </c>
      <c r="F331" t="s" s="1">
        <v>2593</v>
      </c>
      <c r="G331" t="s" s="1">
        <v>2593</v>
      </c>
      <c r="H331" t="s" s="1">
        <v>774</v>
      </c>
      <c r="I331" t="s" s="1">
        <v>2178</v>
      </c>
      <c r="J331" t="s" s="1">
        <v>3132</v>
      </c>
      <c r="K331" t="s" s="1">
        <v>658</v>
      </c>
      <c r="L331" t="s" s="1">
        <v>1090</v>
      </c>
      <c r="M331" t="n" s="5">
        <v>347600.0</v>
      </c>
      <c r="N331" t="n" s="7">
        <v>44515.0</v>
      </c>
      <c r="O331" t="n" s="7">
        <v>44561.0</v>
      </c>
      <c r="P331" t="s" s="1">
        <v>3384</v>
      </c>
    </row>
    <row r="332" spans="1:16">
      <c r="A332" t="n" s="4">
        <v>328</v>
      </c>
      <c r="B332" s="2">
        <f>HYPERLINK("https://my.zakupki.prom.ua/remote/dispatcher/state_purchase_view/25238402", "UA-2021-03-25-005390-b")</f>
        <v/>
      </c>
      <c r="C332" t="s" s="2">
        <v>3102</v>
      </c>
      <c r="D332" s="2">
        <f>HYPERLINK("https://my.zakupki.prom.ua/remote/dispatcher/state_contracting_view/8273379", "UA-2021-03-25-005390-b-b1")</f>
        <v/>
      </c>
      <c r="E332" t="s" s="1">
        <v>1466</v>
      </c>
      <c r="F332" t="s" s="1">
        <v>2276</v>
      </c>
      <c r="G332" t="s" s="1">
        <v>2276</v>
      </c>
      <c r="H332" t="s" s="1">
        <v>262</v>
      </c>
      <c r="I332" t="s" s="1">
        <v>2178</v>
      </c>
      <c r="J332" t="s" s="1">
        <v>3356</v>
      </c>
      <c r="K332" t="s" s="1">
        <v>814</v>
      </c>
      <c r="L332" t="s" s="1">
        <v>585</v>
      </c>
      <c r="M332" t="n" s="5">
        <v>3000.0</v>
      </c>
      <c r="N332" t="n" s="7">
        <v>44280.0</v>
      </c>
      <c r="O332" t="n" s="7">
        <v>44561.0</v>
      </c>
      <c r="P332" t="s" s="1">
        <v>3384</v>
      </c>
    </row>
    <row r="333" spans="1:16">
      <c r="A333" t="n" s="4">
        <v>329</v>
      </c>
      <c r="B333" s="2">
        <f>HYPERLINK("https://my.zakupki.prom.ua/remote/dispatcher/state_purchase_view/25229806", "UA-2021-03-25-005266-a")</f>
        <v/>
      </c>
      <c r="C333" t="s" s="2">
        <v>3102</v>
      </c>
      <c r="D333" s="2">
        <f>HYPERLINK("https://my.zakupki.prom.ua/remote/dispatcher/state_contracting_view/8260757", "UA-2021-03-25-005266-a-a1")</f>
        <v/>
      </c>
      <c r="E333" t="s" s="1">
        <v>1986</v>
      </c>
      <c r="F333" t="s" s="1">
        <v>2531</v>
      </c>
      <c r="G333" t="s" s="1">
        <v>3486</v>
      </c>
      <c r="H333" t="s" s="1">
        <v>759</v>
      </c>
      <c r="I333" t="s" s="1">
        <v>2178</v>
      </c>
      <c r="J333" t="s" s="1">
        <v>3258</v>
      </c>
      <c r="K333" t="s" s="1">
        <v>776</v>
      </c>
      <c r="L333" t="s" s="1">
        <v>153</v>
      </c>
      <c r="M333" t="n" s="5">
        <v>23106.0</v>
      </c>
      <c r="N333" t="n" s="7">
        <v>44280.0</v>
      </c>
      <c r="O333" t="n" s="7">
        <v>44561.0</v>
      </c>
      <c r="P333" t="s" s="1">
        <v>3384</v>
      </c>
    </row>
    <row r="334" spans="1:16">
      <c r="A334" t="n" s="4">
        <v>330</v>
      </c>
      <c r="B334" s="2">
        <f>HYPERLINK("https://my.zakupki.prom.ua/remote/dispatcher/state_purchase_view/24871280", "UA-2021-03-15-001677-b")</f>
        <v/>
      </c>
      <c r="C334" t="s" s="2">
        <v>3102</v>
      </c>
      <c r="D334" s="2">
        <f>HYPERLINK("https://my.zakupki.prom.ua/remote/dispatcher/state_contracting_view/8079331", "UA-2021-03-15-001677-b-b1")</f>
        <v/>
      </c>
      <c r="E334" t="s" s="1">
        <v>1700</v>
      </c>
      <c r="F334" t="s" s="1">
        <v>2846</v>
      </c>
      <c r="G334" t="s" s="1">
        <v>2846</v>
      </c>
      <c r="H334" t="s" s="1">
        <v>1072</v>
      </c>
      <c r="I334" t="s" s="1">
        <v>2178</v>
      </c>
      <c r="J334" t="s" s="1">
        <v>3112</v>
      </c>
      <c r="K334" t="s" s="1">
        <v>802</v>
      </c>
      <c r="L334" t="s" s="1">
        <v>1560</v>
      </c>
      <c r="M334" t="n" s="5">
        <v>11713.5</v>
      </c>
      <c r="N334" t="n" s="7">
        <v>44270.0</v>
      </c>
      <c r="O334" t="n" s="7">
        <v>44561.0</v>
      </c>
      <c r="P334" t="s" s="1">
        <v>3384</v>
      </c>
    </row>
    <row r="335" spans="1:16">
      <c r="A335" t="n" s="4">
        <v>331</v>
      </c>
      <c r="B335" s="2">
        <f>HYPERLINK("https://my.zakupki.prom.ua/remote/dispatcher/state_purchase_view/24962946", "UA-2021-03-17-000906-c")</f>
        <v/>
      </c>
      <c r="C335" t="s" s="2">
        <v>3102</v>
      </c>
      <c r="D335" s="2">
        <f>HYPERLINK("https://my.zakupki.prom.ua/remote/dispatcher/state_contracting_view/8119407", "UA-2021-03-17-000906-c-c1")</f>
        <v/>
      </c>
      <c r="E335" t="s" s="1">
        <v>2047</v>
      </c>
      <c r="F335" t="s" s="1">
        <v>2915</v>
      </c>
      <c r="G335" t="s" s="1">
        <v>2915</v>
      </c>
      <c r="H335" t="s" s="1">
        <v>1173</v>
      </c>
      <c r="I335" t="s" s="1">
        <v>2178</v>
      </c>
      <c r="J335" t="s" s="1">
        <v>3089</v>
      </c>
      <c r="K335" t="s" s="1">
        <v>654</v>
      </c>
      <c r="L335" t="s" s="1">
        <v>458</v>
      </c>
      <c r="M335" t="n" s="5">
        <v>540.0</v>
      </c>
      <c r="N335" t="n" s="7">
        <v>44271.0</v>
      </c>
      <c r="O335" t="n" s="7">
        <v>44561.0</v>
      </c>
      <c r="P335" t="s" s="1">
        <v>3384</v>
      </c>
    </row>
    <row r="336" spans="1:16">
      <c r="A336" t="n" s="4">
        <v>332</v>
      </c>
      <c r="B336" s="2">
        <f>HYPERLINK("https://my.zakupki.prom.ua/remote/dispatcher/state_purchase_view/26604952", "UA-2021-05-17-013132-b")</f>
        <v/>
      </c>
      <c r="C336" t="s" s="2">
        <v>3102</v>
      </c>
      <c r="D336" s="2">
        <f>HYPERLINK("https://my.zakupki.prom.ua/remote/dispatcher/state_contracting_view/8903903", "UA-2021-05-17-013132-b-b1")</f>
        <v/>
      </c>
      <c r="E336" t="s" s="1">
        <v>1846</v>
      </c>
      <c r="F336" t="s" s="1">
        <v>2636</v>
      </c>
      <c r="G336" t="s" s="1">
        <v>2636</v>
      </c>
      <c r="H336" t="s" s="1">
        <v>774</v>
      </c>
      <c r="I336" t="s" s="1">
        <v>2178</v>
      </c>
      <c r="J336" t="s" s="1">
        <v>3258</v>
      </c>
      <c r="K336" t="s" s="1">
        <v>776</v>
      </c>
      <c r="L336" t="s" s="1">
        <v>354</v>
      </c>
      <c r="M336" t="n" s="5">
        <v>18560.0</v>
      </c>
      <c r="N336" t="n" s="7">
        <v>44333.0</v>
      </c>
      <c r="O336" t="n" s="7">
        <v>44561.0</v>
      </c>
      <c r="P336" t="s" s="1">
        <v>3384</v>
      </c>
    </row>
    <row r="337" spans="1:16">
      <c r="A337" t="n" s="4">
        <v>333</v>
      </c>
      <c r="B337" s="2">
        <f>HYPERLINK("https://my.zakupki.prom.ua/remote/dispatcher/state_purchase_view/31477170", "UA-2021-11-05-007711-b")</f>
        <v/>
      </c>
      <c r="C337" t="s" s="2">
        <v>3102</v>
      </c>
      <c r="D337" s="2">
        <f>HYPERLINK("https://my.zakupki.prom.ua/remote/dispatcher/state_contracting_view/11440388", "UA-2021-11-05-007711-b-a1")</f>
        <v/>
      </c>
      <c r="E337" t="s" s="1">
        <v>140</v>
      </c>
      <c r="F337" t="s" s="1">
        <v>2702</v>
      </c>
      <c r="G337" t="s" s="1">
        <v>1795</v>
      </c>
      <c r="H337" t="s" s="1">
        <v>777</v>
      </c>
      <c r="I337" t="s" s="1">
        <v>3171</v>
      </c>
      <c r="J337" t="s" s="1">
        <v>3340</v>
      </c>
      <c r="K337" t="s" s="1">
        <v>843</v>
      </c>
      <c r="L337" t="s" s="1">
        <v>1603</v>
      </c>
      <c r="M337" t="n" s="5">
        <v>434350.0</v>
      </c>
      <c r="N337" t="n" s="7">
        <v>44522.0</v>
      </c>
      <c r="O337" t="n" s="7">
        <v>44561.0</v>
      </c>
      <c r="P337" t="s" s="1">
        <v>3384</v>
      </c>
    </row>
    <row r="338" spans="1:16">
      <c r="A338" t="n" s="4">
        <v>334</v>
      </c>
      <c r="B338" s="2">
        <f>HYPERLINK("https://my.zakupki.prom.ua/remote/dispatcher/state_purchase_view/24757402", "UA-2021-03-10-009080-b")</f>
        <v/>
      </c>
      <c r="C338" t="s" s="2">
        <v>3102</v>
      </c>
      <c r="D338" s="2">
        <f>HYPERLINK("https://my.zakupki.prom.ua/remote/dispatcher/state_contracting_view/8514374", "UA-2021-03-10-009080-b-b1")</f>
        <v/>
      </c>
      <c r="E338" t="s" s="1">
        <v>1903</v>
      </c>
      <c r="F338" t="s" s="1">
        <v>2546</v>
      </c>
      <c r="G338" t="s" s="1">
        <v>2546</v>
      </c>
      <c r="H338" t="s" s="1">
        <v>761</v>
      </c>
      <c r="I338" t="s" s="1">
        <v>2142</v>
      </c>
      <c r="J338" t="s" s="1">
        <v>3243</v>
      </c>
      <c r="K338" t="s" s="1">
        <v>892</v>
      </c>
      <c r="L338" t="s" s="1">
        <v>979</v>
      </c>
      <c r="M338" t="n" s="5">
        <v>361532.0</v>
      </c>
      <c r="N338" t="n" s="7">
        <v>44300.0</v>
      </c>
      <c r="O338" t="n" s="7">
        <v>44561.0</v>
      </c>
      <c r="P338" t="s" s="1">
        <v>3384</v>
      </c>
    </row>
    <row r="339" spans="1:16">
      <c r="A339" t="n" s="4">
        <v>335</v>
      </c>
      <c r="B339" s="2">
        <f>HYPERLINK("https://my.zakupki.prom.ua/remote/dispatcher/state_purchase_view/25526844", "UA-2021-04-05-004585-a")</f>
        <v/>
      </c>
      <c r="C339" t="s" s="2">
        <v>3102</v>
      </c>
      <c r="D339" s="2">
        <f>HYPERLINK("https://my.zakupki.prom.ua/remote/dispatcher/state_contracting_view/8387920", "UA-2021-04-05-004585-a-a1")</f>
        <v/>
      </c>
      <c r="E339" t="s" s="1">
        <v>1250</v>
      </c>
      <c r="F339" t="s" s="1">
        <v>2843</v>
      </c>
      <c r="G339" t="s" s="1">
        <v>2843</v>
      </c>
      <c r="H339" t="s" s="1">
        <v>1070</v>
      </c>
      <c r="I339" t="s" s="1">
        <v>2178</v>
      </c>
      <c r="J339" t="s" s="1">
        <v>2141</v>
      </c>
      <c r="K339" t="s" s="1">
        <v>438</v>
      </c>
      <c r="L339" t="s" s="1">
        <v>779</v>
      </c>
      <c r="M339" t="n" s="5">
        <v>640.0</v>
      </c>
      <c r="N339" t="n" s="7">
        <v>44291.0</v>
      </c>
      <c r="O339" t="n" s="7">
        <v>44561.0</v>
      </c>
      <c r="P339" t="s" s="1">
        <v>3384</v>
      </c>
    </row>
    <row r="340" spans="1:16">
      <c r="A340" t="n" s="4">
        <v>336</v>
      </c>
      <c r="B340" s="2">
        <f>HYPERLINK("https://my.zakupki.prom.ua/remote/dispatcher/state_purchase_view/25521995", "UA-2021-04-05-003220-a")</f>
        <v/>
      </c>
      <c r="C340" t="s" s="2">
        <v>3102</v>
      </c>
      <c r="D340" s="2">
        <f>HYPERLINK("https://my.zakupki.prom.ua/remote/dispatcher/state_contracting_view/8385630", "UA-2021-04-05-003220-a-a1")</f>
        <v/>
      </c>
      <c r="E340" t="s" s="1">
        <v>37</v>
      </c>
      <c r="F340" t="s" s="1">
        <v>2392</v>
      </c>
      <c r="G340" t="s" s="1">
        <v>3406</v>
      </c>
      <c r="H340" t="s" s="1">
        <v>548</v>
      </c>
      <c r="I340" t="s" s="1">
        <v>2178</v>
      </c>
      <c r="J340" t="s" s="1">
        <v>2141</v>
      </c>
      <c r="K340" t="s" s="1">
        <v>438</v>
      </c>
      <c r="L340" t="s" s="1">
        <v>752</v>
      </c>
      <c r="M340" t="n" s="5">
        <v>715.0</v>
      </c>
      <c r="N340" t="n" s="7">
        <v>44291.0</v>
      </c>
      <c r="O340" t="n" s="7">
        <v>44561.0</v>
      </c>
      <c r="P340" t="s" s="1">
        <v>3384</v>
      </c>
    </row>
    <row r="341" spans="1:16">
      <c r="A341" t="n" s="4">
        <v>337</v>
      </c>
      <c r="B341" s="2">
        <f>HYPERLINK("https://my.zakupki.prom.ua/remote/dispatcher/state_purchase_view/25635384", "UA-2021-04-08-002296-b")</f>
        <v/>
      </c>
      <c r="C341" t="s" s="2">
        <v>3102</v>
      </c>
      <c r="D341" s="2">
        <f>HYPERLINK("https://my.zakupki.prom.ua/remote/dispatcher/state_contracting_view/8443412", "UA-2021-04-08-002296-b-b1")</f>
        <v/>
      </c>
      <c r="E341" t="s" s="1">
        <v>599</v>
      </c>
      <c r="F341" t="s" s="1">
        <v>2391</v>
      </c>
      <c r="G341" t="s" s="1">
        <v>2391</v>
      </c>
      <c r="H341" t="s" s="1">
        <v>539</v>
      </c>
      <c r="I341" t="s" s="1">
        <v>2178</v>
      </c>
      <c r="J341" t="s" s="1">
        <v>3112</v>
      </c>
      <c r="K341" t="s" s="1">
        <v>802</v>
      </c>
      <c r="L341" t="s" s="1">
        <v>339</v>
      </c>
      <c r="M341" t="n" s="5">
        <v>191.9</v>
      </c>
      <c r="N341" t="n" s="7">
        <v>44294.0</v>
      </c>
      <c r="O341" t="n" s="7">
        <v>44561.0</v>
      </c>
      <c r="P341" t="s" s="1">
        <v>3384</v>
      </c>
    </row>
    <row r="342" spans="1:16">
      <c r="A342" t="n" s="4">
        <v>338</v>
      </c>
      <c r="B342" s="2">
        <f>HYPERLINK("https://my.zakupki.prom.ua/remote/dispatcher/state_purchase_view/27739621", "UA-2021-06-24-004752-c")</f>
        <v/>
      </c>
      <c r="C342" t="s" s="2">
        <v>3102</v>
      </c>
      <c r="D342" s="2">
        <f>HYPERLINK("https://my.zakupki.prom.ua/remote/dispatcher/state_contracting_view/9442520", "UA-2021-06-24-004752-c-c1")</f>
        <v/>
      </c>
      <c r="E342" t="s" s="1">
        <v>103</v>
      </c>
      <c r="F342" t="s" s="1">
        <v>2322</v>
      </c>
      <c r="G342" t="s" s="1">
        <v>2322</v>
      </c>
      <c r="H342" t="s" s="1">
        <v>345</v>
      </c>
      <c r="I342" t="s" s="1">
        <v>2178</v>
      </c>
      <c r="J342" t="s" s="1">
        <v>3088</v>
      </c>
      <c r="K342" t="s" s="1">
        <v>510</v>
      </c>
      <c r="L342" t="s" s="1">
        <v>1311</v>
      </c>
      <c r="M342" t="n" s="5">
        <v>11200.0</v>
      </c>
      <c r="N342" t="n" s="7">
        <v>44371.0</v>
      </c>
      <c r="O342" t="n" s="7">
        <v>44561.0</v>
      </c>
      <c r="P342" t="s" s="1">
        <v>3384</v>
      </c>
    </row>
    <row r="343" spans="1:16">
      <c r="A343" t="n" s="4">
        <v>339</v>
      </c>
      <c r="B343" s="2">
        <f>HYPERLINK("https://my.zakupki.prom.ua/remote/dispatcher/state_purchase_view/27742911", "UA-2021-06-24-005642-c")</f>
        <v/>
      </c>
      <c r="C343" t="s" s="2">
        <v>3102</v>
      </c>
      <c r="D343" s="2">
        <f>HYPERLINK("https://my.zakupki.prom.ua/remote/dispatcher/state_contracting_view/9444551", "UA-2021-06-24-005642-c-c1")</f>
        <v/>
      </c>
      <c r="E343" t="s" s="1">
        <v>2090</v>
      </c>
      <c r="F343" t="s" s="1">
        <v>2401</v>
      </c>
      <c r="G343" t="s" s="1">
        <v>3372</v>
      </c>
      <c r="H343" t="s" s="1">
        <v>550</v>
      </c>
      <c r="I343" t="s" s="1">
        <v>2178</v>
      </c>
      <c r="J343" t="s" s="1">
        <v>3277</v>
      </c>
      <c r="K343" t="s" s="1">
        <v>519</v>
      </c>
      <c r="L343" t="s" s="1">
        <v>1286</v>
      </c>
      <c r="M343" t="n" s="5">
        <v>588.43</v>
      </c>
      <c r="N343" t="n" s="7">
        <v>44369.0</v>
      </c>
      <c r="O343" t="n" s="7">
        <v>44561.0</v>
      </c>
      <c r="P343" t="s" s="1">
        <v>3384</v>
      </c>
    </row>
    <row r="344" spans="1:16">
      <c r="A344" t="n" s="4">
        <v>340</v>
      </c>
      <c r="B344" s="2">
        <f>HYPERLINK("https://my.zakupki.prom.ua/remote/dispatcher/state_purchase_view/25562762", "UA-2021-04-06-002883-c")</f>
        <v/>
      </c>
      <c r="C344" t="s" s="2">
        <v>3102</v>
      </c>
      <c r="D344" s="2">
        <f>HYPERLINK("https://my.zakupki.prom.ua/remote/dispatcher/state_contracting_view/8405187", "UA-2021-04-06-002883-c-c1")</f>
        <v/>
      </c>
      <c r="E344" t="s" s="1">
        <v>1960</v>
      </c>
      <c r="F344" t="s" s="1">
        <v>2755</v>
      </c>
      <c r="G344" t="s" s="1">
        <v>2755</v>
      </c>
      <c r="H344" t="s" s="1">
        <v>914</v>
      </c>
      <c r="I344" t="s" s="1">
        <v>2178</v>
      </c>
      <c r="J344" t="s" s="1">
        <v>3356</v>
      </c>
      <c r="K344" t="s" s="1">
        <v>814</v>
      </c>
      <c r="L344" t="s" s="1">
        <v>821</v>
      </c>
      <c r="M344" t="n" s="5">
        <v>540.0</v>
      </c>
      <c r="N344" t="n" s="7">
        <v>44292.0</v>
      </c>
      <c r="O344" t="n" s="7">
        <v>44561.0</v>
      </c>
      <c r="P344" t="s" s="1">
        <v>3384</v>
      </c>
    </row>
    <row r="345" spans="1:16">
      <c r="A345" t="n" s="4">
        <v>341</v>
      </c>
      <c r="B345" s="2">
        <f>HYPERLINK("https://my.zakupki.prom.ua/remote/dispatcher/state_purchase_view/25433771", "UA-2021-04-01-001747-c")</f>
        <v/>
      </c>
      <c r="C345" t="s" s="2">
        <v>3102</v>
      </c>
      <c r="D345" s="2">
        <f>HYPERLINK("https://my.zakupki.prom.ua/remote/dispatcher/state_contracting_view/8343992", "UA-2021-04-01-001747-c-c1")</f>
        <v/>
      </c>
      <c r="E345" t="s" s="1">
        <v>1736</v>
      </c>
      <c r="F345" t="s" s="1">
        <v>2960</v>
      </c>
      <c r="G345" t="s" s="1">
        <v>2960</v>
      </c>
      <c r="H345" t="s" s="1">
        <v>1450</v>
      </c>
      <c r="I345" t="s" s="1">
        <v>2178</v>
      </c>
      <c r="J345" t="s" s="1">
        <v>2134</v>
      </c>
      <c r="K345" t="s" s="1">
        <v>370</v>
      </c>
      <c r="L345" t="s" s="1">
        <v>9</v>
      </c>
      <c r="M345" t="n" s="5">
        <v>18223.0</v>
      </c>
      <c r="N345" t="n" s="7">
        <v>44287.0</v>
      </c>
      <c r="O345" t="n" s="7">
        <v>44561.0</v>
      </c>
      <c r="P345" t="s" s="1">
        <v>3384</v>
      </c>
    </row>
    <row r="346" spans="1:16">
      <c r="A346" t="n" s="4">
        <v>342</v>
      </c>
      <c r="B346" s="2">
        <f>HYPERLINK("https://my.zakupki.prom.ua/remote/dispatcher/state_purchase_view/25700115", "UA-2021-04-09-003399-b")</f>
        <v/>
      </c>
      <c r="C346" t="s" s="2">
        <v>3102</v>
      </c>
      <c r="D346" s="2">
        <f>HYPERLINK("https://my.zakupki.prom.ua/remote/dispatcher/state_contracting_view/8470297", "UA-2021-04-09-003399-b-b1")</f>
        <v/>
      </c>
      <c r="E346" t="s" s="1">
        <v>2045</v>
      </c>
      <c r="F346" t="s" s="1">
        <v>2914</v>
      </c>
      <c r="G346" t="s" s="1">
        <v>2914</v>
      </c>
      <c r="H346" t="s" s="1">
        <v>1173</v>
      </c>
      <c r="I346" t="s" s="1">
        <v>2178</v>
      </c>
      <c r="J346" t="s" s="1">
        <v>3089</v>
      </c>
      <c r="K346" t="s" s="1">
        <v>654</v>
      </c>
      <c r="L346" t="s" s="1">
        <v>939</v>
      </c>
      <c r="M346" t="n" s="5">
        <v>840.0</v>
      </c>
      <c r="N346" t="n" s="7">
        <v>44295.0</v>
      </c>
      <c r="O346" t="n" s="7">
        <v>44561.0</v>
      </c>
      <c r="P346" t="s" s="1">
        <v>3384</v>
      </c>
    </row>
    <row r="347" spans="1:16">
      <c r="A347" t="n" s="4">
        <v>343</v>
      </c>
      <c r="B347" s="2">
        <f>HYPERLINK("https://my.zakupki.prom.ua/remote/dispatcher/state_purchase_view/24377097", "UA-2021-02-25-000566-b")</f>
        <v/>
      </c>
      <c r="C347" t="s" s="2">
        <v>3102</v>
      </c>
      <c r="D347" s="2">
        <f>HYPERLINK("https://my.zakupki.prom.ua/remote/dispatcher/state_contracting_view/7839649", "UA-2021-02-25-000566-b-b1")</f>
        <v/>
      </c>
      <c r="E347" t="s" s="1">
        <v>2067</v>
      </c>
      <c r="F347" t="s" s="1">
        <v>2451</v>
      </c>
      <c r="G347" t="s" s="1">
        <v>2450</v>
      </c>
      <c r="H347" t="s" s="1">
        <v>707</v>
      </c>
      <c r="I347" t="s" s="1">
        <v>2178</v>
      </c>
      <c r="J347" t="s" s="1">
        <v>3286</v>
      </c>
      <c r="K347" t="s" s="1">
        <v>820</v>
      </c>
      <c r="L347" t="s" s="1">
        <v>202</v>
      </c>
      <c r="M347" t="n" s="5">
        <v>12480.0</v>
      </c>
      <c r="N347" t="n" s="7">
        <v>44252.0</v>
      </c>
      <c r="O347" t="n" s="7">
        <v>44561.0</v>
      </c>
      <c r="P347" t="s" s="1">
        <v>3384</v>
      </c>
    </row>
    <row r="348" spans="1:16">
      <c r="A348" t="n" s="4">
        <v>344</v>
      </c>
      <c r="B348" s="2">
        <f>HYPERLINK("https://my.zakupki.prom.ua/remote/dispatcher/state_purchase_view/24284759", "UA-2021-02-23-001451-b")</f>
        <v/>
      </c>
      <c r="C348" t="s" s="2">
        <v>3102</v>
      </c>
      <c r="D348" s="2">
        <f>HYPERLINK("https://my.zakupki.prom.ua/remote/dispatcher/state_contracting_view/7796036", "UA-2021-02-23-001451-b-b1")</f>
        <v/>
      </c>
      <c r="E348" t="s" s="1">
        <v>1929</v>
      </c>
      <c r="F348" t="s" s="1">
        <v>2336</v>
      </c>
      <c r="G348" t="s" s="1">
        <v>2336</v>
      </c>
      <c r="H348" t="s" s="1">
        <v>376</v>
      </c>
      <c r="I348" t="s" s="1">
        <v>2178</v>
      </c>
      <c r="J348" t="s" s="1">
        <v>3117</v>
      </c>
      <c r="K348" t="s" s="1">
        <v>495</v>
      </c>
      <c r="L348" t="s" s="1">
        <v>169</v>
      </c>
      <c r="M348" t="n" s="5">
        <v>160.0</v>
      </c>
      <c r="N348" t="n" s="7">
        <v>44250.0</v>
      </c>
      <c r="O348" t="n" s="7">
        <v>44561.0</v>
      </c>
      <c r="P348" t="s" s="1">
        <v>3384</v>
      </c>
    </row>
    <row r="349" spans="1:16">
      <c r="A349" t="n" s="4">
        <v>345</v>
      </c>
      <c r="B349" s="2">
        <f>HYPERLINK("https://my.zakupki.prom.ua/remote/dispatcher/state_purchase_view/31939062", "UA-2021-11-18-005926-a")</f>
        <v/>
      </c>
      <c r="C349" t="s" s="2">
        <v>3102</v>
      </c>
      <c r="D349" s="2">
        <f>HYPERLINK("https://my.zakupki.prom.ua/remote/dispatcher/state_contracting_view/11392035", "UA-2021-11-18-005926-a-a1")</f>
        <v/>
      </c>
      <c r="E349" t="s" s="1">
        <v>1146</v>
      </c>
      <c r="F349" t="s" s="1">
        <v>2931</v>
      </c>
      <c r="G349" t="s" s="1">
        <v>2931</v>
      </c>
      <c r="H349" t="s" s="1">
        <v>1195</v>
      </c>
      <c r="I349" t="s" s="1">
        <v>2178</v>
      </c>
      <c r="J349" t="s" s="1">
        <v>3267</v>
      </c>
      <c r="K349" t="s" s="1">
        <v>1041</v>
      </c>
      <c r="L349" t="s" s="1">
        <v>652</v>
      </c>
      <c r="M349" t="n" s="5">
        <v>49959.0</v>
      </c>
      <c r="N349" t="n" s="7">
        <v>44518.0</v>
      </c>
      <c r="O349" t="n" s="7">
        <v>44561.0</v>
      </c>
      <c r="P349" t="s" s="1">
        <v>3384</v>
      </c>
    </row>
    <row r="350" spans="1:16">
      <c r="A350" t="n" s="4">
        <v>346</v>
      </c>
      <c r="B350" s="2">
        <f>HYPERLINK("https://my.zakupki.prom.ua/remote/dispatcher/state_purchase_view/26552422", "UA-2021-05-14-008642-c")</f>
        <v/>
      </c>
      <c r="C350" t="s" s="2">
        <v>3102</v>
      </c>
      <c r="D350" s="2">
        <f>HYPERLINK("https://my.zakupki.prom.ua/remote/dispatcher/state_contracting_view/8879392", "UA-2021-05-14-008642-c-c1")</f>
        <v/>
      </c>
      <c r="E350" t="s" s="1">
        <v>1156</v>
      </c>
      <c r="F350" t="s" s="1">
        <v>2475</v>
      </c>
      <c r="G350" t="s" s="1">
        <v>2475</v>
      </c>
      <c r="H350" t="s" s="1">
        <v>757</v>
      </c>
      <c r="I350" t="s" s="1">
        <v>2178</v>
      </c>
      <c r="J350" t="s" s="1">
        <v>3287</v>
      </c>
      <c r="K350" t="s" s="1">
        <v>892</v>
      </c>
      <c r="L350" t="s" s="1">
        <v>1217</v>
      </c>
      <c r="M350" t="n" s="5">
        <v>5290000.0</v>
      </c>
      <c r="N350" t="n" s="7">
        <v>44330.0</v>
      </c>
      <c r="O350" t="n" s="7">
        <v>44561.0</v>
      </c>
      <c r="P350" t="s" s="1">
        <v>3384</v>
      </c>
    </row>
    <row r="351" spans="1:16">
      <c r="A351" t="n" s="4">
        <v>347</v>
      </c>
      <c r="B351" s="2">
        <f>HYPERLINK("https://my.zakupki.prom.ua/remote/dispatcher/state_purchase_view/26343232", "UA-2021-05-06-004292-c")</f>
        <v/>
      </c>
      <c r="C351" t="s" s="2">
        <v>3102</v>
      </c>
      <c r="D351" s="2">
        <f>HYPERLINK("https://my.zakupki.prom.ua/remote/dispatcher/state_contracting_view/9173641", "UA-2021-05-06-004292-c-b1")</f>
        <v/>
      </c>
      <c r="E351" t="s" s="1">
        <v>1925</v>
      </c>
      <c r="F351" t="s" s="1">
        <v>2550</v>
      </c>
      <c r="G351" t="s" s="1">
        <v>3051</v>
      </c>
      <c r="H351" t="s" s="1">
        <v>763</v>
      </c>
      <c r="I351" t="s" s="1">
        <v>2142</v>
      </c>
      <c r="J351" t="s" s="1">
        <v>3126</v>
      </c>
      <c r="K351" t="s" s="1">
        <v>564</v>
      </c>
      <c r="L351" t="s" s="1">
        <v>1259</v>
      </c>
      <c r="M351" t="n" s="5">
        <v>379482.25</v>
      </c>
      <c r="N351" t="n" s="7">
        <v>44351.0</v>
      </c>
      <c r="O351" t="n" s="7">
        <v>44561.0</v>
      </c>
      <c r="P351" t="s" s="1">
        <v>3384</v>
      </c>
    </row>
    <row r="352" spans="1:16">
      <c r="A352" t="n" s="4">
        <v>348</v>
      </c>
      <c r="B352" s="2">
        <f>HYPERLINK("https://my.zakupki.prom.ua/remote/dispatcher/state_purchase_view/26338744", "UA-2021-05-06-003014-c")</f>
        <v/>
      </c>
      <c r="C352" t="s" s="2">
        <v>3102</v>
      </c>
      <c r="D352" s="2">
        <f>HYPERLINK("https://my.zakupki.prom.ua/remote/dispatcher/state_contracting_view/8777372", "UA-2021-05-06-003014-c-c1")</f>
        <v/>
      </c>
      <c r="E352" t="s" s="1">
        <v>1654</v>
      </c>
      <c r="F352" t="s" s="1">
        <v>2818</v>
      </c>
      <c r="G352" t="s" s="1">
        <v>2818</v>
      </c>
      <c r="H352" t="s" s="1">
        <v>1059</v>
      </c>
      <c r="I352" t="s" s="1">
        <v>2178</v>
      </c>
      <c r="J352" t="s" s="1">
        <v>2141</v>
      </c>
      <c r="K352" t="s" s="1">
        <v>438</v>
      </c>
      <c r="L352" t="s" s="1">
        <v>1109</v>
      </c>
      <c r="M352" t="n" s="5">
        <v>1861.0</v>
      </c>
      <c r="N352" t="n" s="7">
        <v>44322.0</v>
      </c>
      <c r="O352" t="n" s="7">
        <v>44561.0</v>
      </c>
      <c r="P352" t="s" s="1">
        <v>3384</v>
      </c>
    </row>
    <row r="353" spans="1:16">
      <c r="A353" t="n" s="4">
        <v>349</v>
      </c>
      <c r="B353" s="2">
        <f>HYPERLINK("https://my.zakupki.prom.ua/remote/dispatcher/state_purchase_view/26334841", "UA-2021-05-06-001836-c")</f>
        <v/>
      </c>
      <c r="C353" t="s" s="2">
        <v>3102</v>
      </c>
      <c r="D353" s="2">
        <f>HYPERLINK("https://my.zakupki.prom.ua/remote/dispatcher/state_contracting_view/8777246", "UA-2021-05-06-001836-c-c1")</f>
        <v/>
      </c>
      <c r="E353" t="s" s="1">
        <v>206</v>
      </c>
      <c r="F353" t="s" s="1">
        <v>2872</v>
      </c>
      <c r="G353" t="s" s="1">
        <v>2872</v>
      </c>
      <c r="H353" t="s" s="1">
        <v>1077</v>
      </c>
      <c r="I353" t="s" s="1">
        <v>2178</v>
      </c>
      <c r="J353" t="s" s="1">
        <v>2141</v>
      </c>
      <c r="K353" t="s" s="1">
        <v>438</v>
      </c>
      <c r="L353" t="s" s="1">
        <v>1120</v>
      </c>
      <c r="M353" t="n" s="5">
        <v>234.0</v>
      </c>
      <c r="N353" t="n" s="7">
        <v>44322.0</v>
      </c>
      <c r="O353" t="n" s="7">
        <v>44561.0</v>
      </c>
      <c r="P353" t="s" s="1">
        <v>3384</v>
      </c>
    </row>
    <row r="354" spans="1:16">
      <c r="A354" t="n" s="4">
        <v>350</v>
      </c>
      <c r="B354" s="2">
        <f>HYPERLINK("https://my.zakupki.prom.ua/remote/dispatcher/state_purchase_view/25266812", "UA-2021-03-26-002716-b")</f>
        <v/>
      </c>
      <c r="C354" t="s" s="2">
        <v>3102</v>
      </c>
      <c r="D354" s="2">
        <f>HYPERLINK("https://my.zakupki.prom.ua/remote/dispatcher/state_contracting_view/8285630", "UA-2021-03-26-002716-b-b1")</f>
        <v/>
      </c>
      <c r="E354" t="s" s="1">
        <v>1721</v>
      </c>
      <c r="F354" t="s" s="1">
        <v>2413</v>
      </c>
      <c r="G354" t="s" s="1">
        <v>2413</v>
      </c>
      <c r="H354" t="s" s="1">
        <v>661</v>
      </c>
      <c r="I354" t="s" s="1">
        <v>2178</v>
      </c>
      <c r="J354" t="s" s="1">
        <v>3268</v>
      </c>
      <c r="K354" t="s" s="1">
        <v>984</v>
      </c>
      <c r="L354" t="s" s="1">
        <v>1163</v>
      </c>
      <c r="M354" t="n" s="5">
        <v>49596.0</v>
      </c>
      <c r="N354" t="n" s="7">
        <v>44280.0</v>
      </c>
      <c r="O354" t="n" s="7">
        <v>44561.0</v>
      </c>
      <c r="P354" t="s" s="1">
        <v>3384</v>
      </c>
    </row>
    <row r="355" spans="1:16">
      <c r="A355" t="n" s="4">
        <v>351</v>
      </c>
      <c r="B355" s="2">
        <f>HYPERLINK("https://my.zakupki.prom.ua/remote/dispatcher/state_purchase_view/28571538", "UA-2021-07-28-003760-b")</f>
        <v/>
      </c>
      <c r="C355" t="s" s="2">
        <v>3102</v>
      </c>
      <c r="D355" s="2">
        <f>HYPERLINK("https://my.zakupki.prom.ua/remote/dispatcher/state_contracting_view/9836530", "UA-2021-07-28-003760-b-b1")</f>
        <v/>
      </c>
      <c r="E355" t="s" s="1">
        <v>1368</v>
      </c>
      <c r="F355" t="s" s="1">
        <v>2370</v>
      </c>
      <c r="G355" t="s" s="1">
        <v>2370</v>
      </c>
      <c r="H355" t="s" s="1">
        <v>533</v>
      </c>
      <c r="I355" t="s" s="1">
        <v>2178</v>
      </c>
      <c r="J355" t="s" s="1">
        <v>3134</v>
      </c>
      <c r="K355" t="s" s="1">
        <v>658</v>
      </c>
      <c r="L355" t="s" s="1">
        <v>857</v>
      </c>
      <c r="M355" t="n" s="5">
        <v>992.5</v>
      </c>
      <c r="N355" t="n" s="7">
        <v>44404.0</v>
      </c>
      <c r="O355" t="n" s="7">
        <v>44561.0</v>
      </c>
      <c r="P355" t="s" s="1">
        <v>3384</v>
      </c>
    </row>
    <row r="356" spans="1:16">
      <c r="A356" t="n" s="4">
        <v>352</v>
      </c>
      <c r="B356" s="2">
        <f>HYPERLINK("https://my.zakupki.prom.ua/remote/dispatcher/state_purchase_view/28372747", "UA-2021-07-20-007082-b")</f>
        <v/>
      </c>
      <c r="C356" t="s" s="2">
        <v>3102</v>
      </c>
      <c r="D356" s="2">
        <f>HYPERLINK("https://my.zakupki.prom.ua/remote/dispatcher/state_contracting_view/9742828", "UA-2021-07-20-007082-b-b1")</f>
        <v/>
      </c>
      <c r="E356" t="s" s="1">
        <v>1683</v>
      </c>
      <c r="F356" t="s" s="1">
        <v>2568</v>
      </c>
      <c r="G356" t="s" s="1">
        <v>3173</v>
      </c>
      <c r="H356" t="s" s="1">
        <v>766</v>
      </c>
      <c r="I356" t="s" s="1">
        <v>2178</v>
      </c>
      <c r="J356" t="s" s="1">
        <v>3305</v>
      </c>
      <c r="K356" t="s" s="1">
        <v>439</v>
      </c>
      <c r="L356" t="s" s="1">
        <v>156</v>
      </c>
      <c r="M356" t="n" s="5">
        <v>6780.16</v>
      </c>
      <c r="N356" t="n" s="7">
        <v>44397.0</v>
      </c>
      <c r="O356" t="n" s="7">
        <v>44561.0</v>
      </c>
      <c r="P356" t="s" s="1">
        <v>3384</v>
      </c>
    </row>
    <row r="357" spans="1:16">
      <c r="A357" t="n" s="4">
        <v>353</v>
      </c>
      <c r="B357" s="2">
        <f>HYPERLINK("https://my.zakupki.prom.ua/remote/dispatcher/state_purchase_view/30290511", "UA-2021-09-28-002671-b")</f>
        <v/>
      </c>
      <c r="C357" t="s" s="2">
        <v>3102</v>
      </c>
      <c r="D357" s="2">
        <f>HYPERLINK("https://my.zakupki.prom.ua/remote/dispatcher/state_contracting_view/10634206", "UA-2021-09-28-002671-b-b1")</f>
        <v/>
      </c>
      <c r="E357" t="s" s="1">
        <v>1785</v>
      </c>
      <c r="F357" t="s" s="1">
        <v>2893</v>
      </c>
      <c r="G357" t="s" s="1">
        <v>2893</v>
      </c>
      <c r="H357" t="s" s="1">
        <v>1084</v>
      </c>
      <c r="I357" t="s" s="1">
        <v>2178</v>
      </c>
      <c r="J357" t="s" s="1">
        <v>2141</v>
      </c>
      <c r="K357" t="s" s="1">
        <v>438</v>
      </c>
      <c r="L357" t="s" s="1">
        <v>1489</v>
      </c>
      <c r="M357" t="n" s="5">
        <v>1420.0</v>
      </c>
      <c r="N357" t="n" s="7">
        <v>44467.0</v>
      </c>
      <c r="O357" t="n" s="7">
        <v>44561.0</v>
      </c>
      <c r="P357" t="s" s="1">
        <v>3384</v>
      </c>
    </row>
    <row r="358" spans="1:16">
      <c r="A358" t="n" s="4">
        <v>354</v>
      </c>
      <c r="B358" s="2">
        <f>HYPERLINK("https://my.zakupki.prom.ua/remote/dispatcher/state_purchase_view/30050582", "UA-2021-09-21-003146-b")</f>
        <v/>
      </c>
      <c r="C358" t="s" s="2">
        <v>3102</v>
      </c>
      <c r="D358" s="2">
        <f>HYPERLINK("https://my.zakupki.prom.ua/remote/dispatcher/state_contracting_view/10544046", "UA-2021-09-21-003146-b-b1")</f>
        <v/>
      </c>
      <c r="E358" t="s" s="1">
        <v>1820</v>
      </c>
      <c r="F358" t="s" s="1">
        <v>2736</v>
      </c>
      <c r="G358" t="s" s="1">
        <v>2736</v>
      </c>
      <c r="H358" t="s" s="1">
        <v>871</v>
      </c>
      <c r="I358" t="s" s="1">
        <v>2178</v>
      </c>
      <c r="J358" t="s" s="1">
        <v>2151</v>
      </c>
      <c r="K358" t="s" s="1">
        <v>666</v>
      </c>
      <c r="L358" t="s" s="1">
        <v>1452</v>
      </c>
      <c r="M358" t="n" s="5">
        <v>271.5</v>
      </c>
      <c r="N358" t="n" s="7">
        <v>44460.0</v>
      </c>
      <c r="O358" t="n" s="7">
        <v>44561.0</v>
      </c>
      <c r="P358" t="s" s="1">
        <v>3384</v>
      </c>
    </row>
    <row r="359" spans="1:16">
      <c r="A359" t="n" s="4">
        <v>355</v>
      </c>
      <c r="B359" s="2">
        <f>HYPERLINK("https://my.zakupki.prom.ua/remote/dispatcher/state_purchase_view/30254630", "UA-2021-09-27-005105-b")</f>
        <v/>
      </c>
      <c r="C359" t="s" s="2">
        <v>3102</v>
      </c>
      <c r="D359" s="2">
        <f>HYPERLINK("https://my.zakupki.prom.ua/remote/dispatcher/state_contracting_view/10617584", "UA-2021-09-27-005105-b-b1")</f>
        <v/>
      </c>
      <c r="E359" t="s" s="1">
        <v>386</v>
      </c>
      <c r="F359" t="s" s="1">
        <v>2561</v>
      </c>
      <c r="G359" t="s" s="1">
        <v>3440</v>
      </c>
      <c r="H359" t="s" s="1">
        <v>763</v>
      </c>
      <c r="I359" t="s" s="1">
        <v>2178</v>
      </c>
      <c r="J359" t="s" s="1">
        <v>3118</v>
      </c>
      <c r="K359" t="s" s="1">
        <v>363</v>
      </c>
      <c r="L359" t="s" s="1">
        <v>3081</v>
      </c>
      <c r="M359" t="n" s="5">
        <v>214140.0</v>
      </c>
      <c r="N359" t="n" s="7">
        <v>44466.0</v>
      </c>
      <c r="O359" t="n" s="7">
        <v>44561.0</v>
      </c>
      <c r="P359" t="s" s="1">
        <v>3384</v>
      </c>
    </row>
    <row r="360" spans="1:16">
      <c r="A360" t="n" s="4">
        <v>356</v>
      </c>
      <c r="B360" s="2">
        <f>HYPERLINK("https://my.zakupki.prom.ua/remote/dispatcher/state_purchase_view/29434683", "UA-2021-09-01-002202-a")</f>
        <v/>
      </c>
      <c r="C360" t="s" s="2">
        <v>3102</v>
      </c>
      <c r="D360" s="2">
        <f>HYPERLINK("https://my.zakupki.prom.ua/remote/dispatcher/state_contracting_view/10239032", "UA-2021-09-01-002202-a-a1")</f>
        <v/>
      </c>
      <c r="E360" t="s" s="1">
        <v>1945</v>
      </c>
      <c r="F360" t="s" s="1">
        <v>2780</v>
      </c>
      <c r="G360" t="s" s="1">
        <v>2780</v>
      </c>
      <c r="H360" t="s" s="1">
        <v>934</v>
      </c>
      <c r="I360" t="s" s="1">
        <v>2178</v>
      </c>
      <c r="J360" t="s" s="1">
        <v>3309</v>
      </c>
      <c r="K360" t="s" s="1">
        <v>611</v>
      </c>
      <c r="L360" t="s" s="1">
        <v>3197</v>
      </c>
      <c r="M360" t="n" s="5">
        <v>2250.0</v>
      </c>
      <c r="N360" t="n" s="7">
        <v>44440.0</v>
      </c>
      <c r="O360" t="n" s="7">
        <v>44561.0</v>
      </c>
      <c r="P360" t="s" s="1">
        <v>3384</v>
      </c>
    </row>
    <row r="361" spans="1:16">
      <c r="A361" t="n" s="4">
        <v>357</v>
      </c>
      <c r="B361" s="2">
        <f>HYPERLINK("https://my.zakupki.prom.ua/remote/dispatcher/state_purchase_view/27908615", "UA-2021-07-02-001733-c")</f>
        <v/>
      </c>
      <c r="C361" t="s" s="2">
        <v>3102</v>
      </c>
      <c r="D361" s="2">
        <f>HYPERLINK("https://my.zakupki.prom.ua/remote/dispatcher/state_contracting_view/9524162", "UA-2021-07-02-001733-c-c1")</f>
        <v/>
      </c>
      <c r="E361" t="s" s="1">
        <v>1103</v>
      </c>
      <c r="F361" t="s" s="1">
        <v>2963</v>
      </c>
      <c r="G361" t="s" s="1">
        <v>2963</v>
      </c>
      <c r="H361" t="s" s="1">
        <v>1450</v>
      </c>
      <c r="I361" t="s" s="1">
        <v>2178</v>
      </c>
      <c r="J361" t="s" s="1">
        <v>2134</v>
      </c>
      <c r="K361" t="s" s="1">
        <v>370</v>
      </c>
      <c r="L361" t="s" s="1">
        <v>14</v>
      </c>
      <c r="M361" t="n" s="5">
        <v>16043.0</v>
      </c>
      <c r="N361" t="n" s="7">
        <v>44379.0</v>
      </c>
      <c r="O361" t="n" s="7">
        <v>44561.0</v>
      </c>
      <c r="P361" t="s" s="1">
        <v>3384</v>
      </c>
    </row>
    <row r="362" spans="1:16">
      <c r="A362" t="n" s="4">
        <v>358</v>
      </c>
      <c r="B362" s="2">
        <f>HYPERLINK("https://my.zakupki.prom.ua/remote/dispatcher/state_purchase_view/29114917", "UA-2021-08-18-002311-a")</f>
        <v/>
      </c>
      <c r="C362" t="s" s="2">
        <v>3102</v>
      </c>
      <c r="D362" s="2">
        <f>HYPERLINK("https://my.zakupki.prom.ua/remote/dispatcher/state_contracting_view/10089022", "UA-2021-08-18-002311-a-a1")</f>
        <v/>
      </c>
      <c r="E362" t="s" s="1">
        <v>2052</v>
      </c>
      <c r="F362" t="s" s="1">
        <v>2493</v>
      </c>
      <c r="G362" t="s" s="1">
        <v>2493</v>
      </c>
      <c r="H362" t="s" s="1">
        <v>758</v>
      </c>
      <c r="I362" t="s" s="1">
        <v>2178</v>
      </c>
      <c r="J362" t="s" s="1">
        <v>3256</v>
      </c>
      <c r="K362" t="s" s="1">
        <v>869</v>
      </c>
      <c r="L362" t="s" s="1">
        <v>1017</v>
      </c>
      <c r="M362" t="n" s="5">
        <v>9700.0</v>
      </c>
      <c r="N362" t="n" s="7">
        <v>44426.0</v>
      </c>
      <c r="O362" t="n" s="7">
        <v>44561.0</v>
      </c>
      <c r="P362" t="s" s="1">
        <v>3384</v>
      </c>
    </row>
    <row r="363" spans="1:16">
      <c r="A363" t="n" s="4">
        <v>359</v>
      </c>
      <c r="B363" s="2">
        <f>HYPERLINK("https://my.zakupki.prom.ua/remote/dispatcher/state_purchase_view/25879265", "UA-2021-04-16-000544-a")</f>
        <v/>
      </c>
      <c r="C363" t="s" s="2">
        <v>3102</v>
      </c>
      <c r="D363" s="2">
        <f>HYPERLINK("https://my.zakupki.prom.ua/remote/dispatcher/state_contracting_view/8555839", "UA-2021-04-16-000544-a-a1")</f>
        <v/>
      </c>
      <c r="E363" t="s" s="1">
        <v>1042</v>
      </c>
      <c r="F363" t="s" s="1">
        <v>2508</v>
      </c>
      <c r="G363" t="s" s="1">
        <v>3417</v>
      </c>
      <c r="H363" t="s" s="1">
        <v>759</v>
      </c>
      <c r="I363" t="s" s="1">
        <v>2178</v>
      </c>
      <c r="J363" t="s" s="1">
        <v>3286</v>
      </c>
      <c r="K363" t="s" s="1">
        <v>820</v>
      </c>
      <c r="L363" t="s" s="1">
        <v>986</v>
      </c>
      <c r="M363" t="n" s="5">
        <v>79390.0</v>
      </c>
      <c r="N363" t="n" s="7">
        <v>44302.0</v>
      </c>
      <c r="O363" t="n" s="7">
        <v>44561.0</v>
      </c>
      <c r="P363" t="s" s="1">
        <v>3384</v>
      </c>
    </row>
    <row r="364" spans="1:16">
      <c r="A364" t="n" s="4">
        <v>360</v>
      </c>
      <c r="B364" s="2">
        <f>HYPERLINK("https://my.zakupki.prom.ua/remote/dispatcher/state_purchase_view/23579430", "UA-2021-02-03-002296-a")</f>
        <v/>
      </c>
      <c r="C364" t="s" s="2">
        <v>3102</v>
      </c>
      <c r="D364" s="2">
        <f>HYPERLINK("https://my.zakupki.prom.ua/remote/dispatcher/state_contracting_view/7568787", "UA-2021-02-03-002296-a-a1")</f>
        <v/>
      </c>
      <c r="E364" t="s" s="1">
        <v>1691</v>
      </c>
      <c r="F364" t="s" s="1">
        <v>2239</v>
      </c>
      <c r="G364" t="s" s="1">
        <v>2240</v>
      </c>
      <c r="H364" t="s" s="1">
        <v>100</v>
      </c>
      <c r="I364" t="s" s="1">
        <v>3143</v>
      </c>
      <c r="J364" t="s" s="1">
        <v>3263</v>
      </c>
      <c r="K364" t="s" s="1">
        <v>866</v>
      </c>
      <c r="L364" t="s" s="1">
        <v>1641</v>
      </c>
      <c r="M364" t="n" s="5">
        <v>1685200.0</v>
      </c>
      <c r="N364" t="n" s="7">
        <v>44236.0</v>
      </c>
      <c r="O364" t="n" s="7">
        <v>44561.0</v>
      </c>
      <c r="P364" t="s" s="1">
        <v>3384</v>
      </c>
    </row>
    <row r="365" spans="1:16">
      <c r="A365" t="n" s="4">
        <v>361</v>
      </c>
      <c r="B365" s="2">
        <f>HYPERLINK("https://my.zakupki.prom.ua/remote/dispatcher/state_purchase_view/32478081", "UA-2021-12-02-003015-c")</f>
        <v/>
      </c>
      <c r="C365" t="s" s="2">
        <v>3102</v>
      </c>
      <c r="D365" s="2">
        <f>HYPERLINK("https://my.zakupki.prom.ua/remote/dispatcher/state_contracting_view/11640732", "UA-2021-12-02-003015-c-c1")</f>
        <v/>
      </c>
      <c r="E365" t="s" s="1">
        <v>2055</v>
      </c>
      <c r="F365" t="s" s="1">
        <v>2545</v>
      </c>
      <c r="G365" t="s" s="1">
        <v>2545</v>
      </c>
      <c r="H365" t="s" s="1">
        <v>760</v>
      </c>
      <c r="I365" t="s" s="1">
        <v>2178</v>
      </c>
      <c r="J365" t="s" s="1">
        <v>3225</v>
      </c>
      <c r="K365" t="s" s="1">
        <v>925</v>
      </c>
      <c r="L365" t="s" s="1">
        <v>144</v>
      </c>
      <c r="M365" t="n" s="5">
        <v>1648600.0</v>
      </c>
      <c r="N365" t="n" s="7">
        <v>44532.0</v>
      </c>
      <c r="O365" t="n" s="7">
        <v>44561.0</v>
      </c>
      <c r="P365" t="s" s="1">
        <v>3384</v>
      </c>
    </row>
    <row r="366" spans="1:16">
      <c r="A366" t="n" s="4">
        <v>362</v>
      </c>
      <c r="B366" s="2">
        <f>HYPERLINK("https://my.zakupki.prom.ua/remote/dispatcher/state_purchase_view/23041827", "UA-2021-01-19-000566-a")</f>
        <v/>
      </c>
      <c r="C366" t="s" s="2">
        <v>3102</v>
      </c>
      <c r="D366" s="2">
        <f>HYPERLINK("https://my.zakupki.prom.ua/remote/dispatcher/state_contracting_view/7251480", "UA-2021-01-19-000566-a-a1")</f>
        <v/>
      </c>
      <c r="E366" t="s" s="1">
        <v>1798</v>
      </c>
      <c r="F366" t="s" s="1">
        <v>2515</v>
      </c>
      <c r="G366" t="s" s="1">
        <v>2514</v>
      </c>
      <c r="H366" t="s" s="1">
        <v>759</v>
      </c>
      <c r="I366" t="s" s="1">
        <v>2178</v>
      </c>
      <c r="J366" t="s" s="1">
        <v>3258</v>
      </c>
      <c r="K366" t="s" s="1">
        <v>776</v>
      </c>
      <c r="L366" t="s" s="1">
        <v>149</v>
      </c>
      <c r="M366" t="n" s="5">
        <v>69400.0</v>
      </c>
      <c r="N366" t="n" s="7">
        <v>44214.0</v>
      </c>
      <c r="O366" t="n" s="7">
        <v>44561.0</v>
      </c>
      <c r="P366" t="s" s="1">
        <v>3384</v>
      </c>
    </row>
    <row r="367" spans="1:16">
      <c r="A367" t="n" s="4">
        <v>363</v>
      </c>
      <c r="B367" s="2">
        <f>HYPERLINK("https://my.zakupki.prom.ua/remote/dispatcher/state_purchase_view/22935348", "UA-2021-01-13-002540-a")</f>
        <v/>
      </c>
      <c r="C367" t="s" s="2">
        <v>3102</v>
      </c>
      <c r="D367" s="2">
        <f>HYPERLINK("https://my.zakupki.prom.ua/remote/dispatcher/state_contracting_view/7214998", "UA-2021-01-13-002540-a-a1")</f>
        <v/>
      </c>
      <c r="E367" t="s" s="1">
        <v>1918</v>
      </c>
      <c r="F367" t="s" s="1">
        <v>2326</v>
      </c>
      <c r="G367" t="s" s="1">
        <v>2326</v>
      </c>
      <c r="H367" t="s" s="1">
        <v>346</v>
      </c>
      <c r="I367" t="s" s="1">
        <v>2178</v>
      </c>
      <c r="J367" t="s" s="1">
        <v>3112</v>
      </c>
      <c r="K367" t="s" s="1">
        <v>802</v>
      </c>
      <c r="L367" t="s" s="1">
        <v>418</v>
      </c>
      <c r="M367" t="n" s="5">
        <v>1300.9</v>
      </c>
      <c r="N367" t="n" s="7">
        <v>44209.0</v>
      </c>
      <c r="O367" t="n" s="7">
        <v>44561.0</v>
      </c>
      <c r="P367" t="s" s="1">
        <v>3384</v>
      </c>
    </row>
    <row r="368" spans="1:16">
      <c r="A368" t="n" s="4">
        <v>364</v>
      </c>
      <c r="B368" s="2">
        <f>HYPERLINK("https://my.zakupki.prom.ua/remote/dispatcher/state_purchase_view/22930930", "UA-2021-01-13-001149-a")</f>
        <v/>
      </c>
      <c r="C368" t="s" s="2">
        <v>3102</v>
      </c>
      <c r="D368" s="2">
        <f>HYPERLINK("https://my.zakupki.prom.ua/remote/dispatcher/state_contracting_view/7213617", "UA-2021-01-13-001149-a-a1")</f>
        <v/>
      </c>
      <c r="E368" t="s" s="1">
        <v>1222</v>
      </c>
      <c r="F368" t="s" s="1">
        <v>2453</v>
      </c>
      <c r="G368" t="s" s="1">
        <v>2453</v>
      </c>
      <c r="H368" t="s" s="1">
        <v>708</v>
      </c>
      <c r="I368" t="s" s="1">
        <v>2178</v>
      </c>
      <c r="J368" t="s" s="1">
        <v>3112</v>
      </c>
      <c r="K368" t="s" s="1">
        <v>802</v>
      </c>
      <c r="L368" t="s" s="1">
        <v>1559</v>
      </c>
      <c r="M368" t="n" s="5">
        <v>628.0</v>
      </c>
      <c r="N368" t="n" s="7">
        <v>44209.0</v>
      </c>
      <c r="O368" t="n" s="7">
        <v>44561.0</v>
      </c>
      <c r="P368" t="s" s="1">
        <v>3384</v>
      </c>
    </row>
    <row r="369" spans="1:16">
      <c r="A369" t="n" s="4">
        <v>365</v>
      </c>
      <c r="B369" s="2">
        <f>HYPERLINK("https://my.zakupki.prom.ua/remote/dispatcher/state_purchase_view/22930661", "UA-2021-01-13-001055-a")</f>
        <v/>
      </c>
      <c r="C369" t="s" s="2">
        <v>3102</v>
      </c>
      <c r="D369" s="2">
        <f>HYPERLINK("https://my.zakupki.prom.ua/remote/dispatcher/state_contracting_view/7213529", "UA-2021-01-13-001055-a-a1")</f>
        <v/>
      </c>
      <c r="E369" t="s" s="1">
        <v>2027</v>
      </c>
      <c r="F369" t="s" s="1">
        <v>2784</v>
      </c>
      <c r="G369" t="s" s="1">
        <v>2784</v>
      </c>
      <c r="H369" t="s" s="1">
        <v>934</v>
      </c>
      <c r="I369" t="s" s="1">
        <v>2178</v>
      </c>
      <c r="J369" t="s" s="1">
        <v>3112</v>
      </c>
      <c r="K369" t="s" s="1">
        <v>802</v>
      </c>
      <c r="L369" t="s" s="1">
        <v>1426</v>
      </c>
      <c r="M369" t="n" s="5">
        <v>12314.25</v>
      </c>
      <c r="N369" t="n" s="7">
        <v>44209.0</v>
      </c>
      <c r="O369" t="n" s="7">
        <v>44561.0</v>
      </c>
      <c r="P369" t="s" s="1">
        <v>3384</v>
      </c>
    </row>
    <row r="370" spans="1:16">
      <c r="A370" t="n" s="4">
        <v>366</v>
      </c>
      <c r="B370" s="2">
        <f>HYPERLINK("https://my.zakupki.prom.ua/remote/dispatcher/state_purchase_view/24350611", "UA-2021-02-24-007244-b")</f>
        <v/>
      </c>
      <c r="C370" t="s" s="2">
        <v>3102</v>
      </c>
      <c r="D370" s="2">
        <f>HYPERLINK("https://my.zakupki.prom.ua/remote/dispatcher/state_contracting_view/7826849", "UA-2021-02-24-007244-b-b1")</f>
        <v/>
      </c>
      <c r="E370" t="s" s="1">
        <v>2099</v>
      </c>
      <c r="F370" t="s" s="1">
        <v>2724</v>
      </c>
      <c r="G370" t="s" s="1">
        <v>2724</v>
      </c>
      <c r="H370" t="s" s="1">
        <v>788</v>
      </c>
      <c r="I370" t="s" s="1">
        <v>2178</v>
      </c>
      <c r="J370" t="s" s="1">
        <v>3286</v>
      </c>
      <c r="K370" t="s" s="1">
        <v>820</v>
      </c>
      <c r="L370" t="s" s="1">
        <v>197</v>
      </c>
      <c r="M370" t="n" s="5">
        <v>7500.0</v>
      </c>
      <c r="N370" t="n" s="7">
        <v>44251.0</v>
      </c>
      <c r="O370" t="n" s="7">
        <v>44561.0</v>
      </c>
      <c r="P370" t="s" s="1">
        <v>3384</v>
      </c>
    </row>
    <row r="371" spans="1:16">
      <c r="A371" t="n" s="4">
        <v>367</v>
      </c>
      <c r="B371" s="2">
        <f>HYPERLINK("https://my.zakupki.prom.ua/remote/dispatcher/state_purchase_view/29987486", "UA-2021-09-17-011050-b")</f>
        <v/>
      </c>
      <c r="C371" t="s" s="2">
        <v>3102</v>
      </c>
      <c r="D371" s="2">
        <f>HYPERLINK("https://my.zakupki.prom.ua/remote/dispatcher/state_contracting_view/10494495", "UA-2021-09-17-011050-b-b1")</f>
        <v/>
      </c>
      <c r="E371" t="s" s="1">
        <v>1615</v>
      </c>
      <c r="F371" t="s" s="1">
        <v>2973</v>
      </c>
      <c r="G371" t="s" s="1">
        <v>2973</v>
      </c>
      <c r="H371" t="s" s="1">
        <v>1453</v>
      </c>
      <c r="I371" t="s" s="1">
        <v>2178</v>
      </c>
      <c r="J371" t="s" s="1">
        <v>3327</v>
      </c>
      <c r="K371" t="s" s="1">
        <v>855</v>
      </c>
      <c r="L371" t="s" s="1">
        <v>601</v>
      </c>
      <c r="M371" t="n" s="5">
        <v>12146.18</v>
      </c>
      <c r="N371" t="n" s="7">
        <v>44454.0</v>
      </c>
      <c r="O371" t="n" s="7">
        <v>44561.0</v>
      </c>
      <c r="P371" t="s" s="1">
        <v>3384</v>
      </c>
    </row>
    <row r="372" spans="1:16">
      <c r="A372" t="n" s="4">
        <v>368</v>
      </c>
      <c r="B372" s="2">
        <f>HYPERLINK("https://my.zakupki.prom.ua/remote/dispatcher/state_purchase_view/23611773", "UA-2021-02-03-010958-a")</f>
        <v/>
      </c>
      <c r="C372" t="s" s="2">
        <v>3102</v>
      </c>
      <c r="D372" s="2">
        <f>HYPERLINK("https://my.zakupki.prom.ua/remote/dispatcher/state_contracting_view/7487780", "UA-2021-02-03-010958-a-a1")</f>
        <v/>
      </c>
      <c r="E372" t="s" s="1">
        <v>1886</v>
      </c>
      <c r="F372" t="s" s="1">
        <v>2820</v>
      </c>
      <c r="G372" t="s" s="1">
        <v>2819</v>
      </c>
      <c r="H372" t="s" s="1">
        <v>1060</v>
      </c>
      <c r="I372" t="s" s="1">
        <v>2178</v>
      </c>
      <c r="J372" t="s" s="1">
        <v>2181</v>
      </c>
      <c r="K372" t="s" s="1">
        <v>541</v>
      </c>
      <c r="L372" t="s" s="1">
        <v>1514</v>
      </c>
      <c r="M372" t="n" s="5">
        <v>5456.0</v>
      </c>
      <c r="N372" t="n" s="7">
        <v>44230.0</v>
      </c>
      <c r="O372" t="n" s="7">
        <v>44561.0</v>
      </c>
      <c r="P372" t="s" s="1">
        <v>3384</v>
      </c>
    </row>
    <row r="373" spans="1:16">
      <c r="A373" t="n" s="4">
        <v>369</v>
      </c>
      <c r="B373" s="2">
        <f>HYPERLINK("https://my.zakupki.prom.ua/remote/dispatcher/state_purchase_view/24995940", "UA-2021-03-17-012835-c")</f>
        <v/>
      </c>
      <c r="C373" t="s" s="2">
        <v>3102</v>
      </c>
      <c r="D373" s="2">
        <f>HYPERLINK("https://my.zakupki.prom.ua/remote/dispatcher/state_contracting_view/8135749", "UA-2021-03-17-012835-c-c1")</f>
        <v/>
      </c>
      <c r="E373" t="s" s="1">
        <v>1685</v>
      </c>
      <c r="F373" t="s" s="1">
        <v>2954</v>
      </c>
      <c r="G373" t="s" s="1">
        <v>2954</v>
      </c>
      <c r="H373" t="s" s="1">
        <v>1446</v>
      </c>
      <c r="I373" t="s" s="1">
        <v>2178</v>
      </c>
      <c r="J373" t="s" s="1">
        <v>2166</v>
      </c>
      <c r="K373" t="s" s="1">
        <v>673</v>
      </c>
      <c r="L373" t="s" s="1">
        <v>477</v>
      </c>
      <c r="M373" t="n" s="5">
        <v>19894.73</v>
      </c>
      <c r="N373" t="n" s="7">
        <v>44272.0</v>
      </c>
      <c r="O373" t="n" s="7">
        <v>44561.0</v>
      </c>
      <c r="P373" t="s" s="1">
        <v>3384</v>
      </c>
    </row>
    <row r="374" spans="1:16">
      <c r="A374" t="n" s="4">
        <v>370</v>
      </c>
      <c r="B374" s="2">
        <f>HYPERLINK("https://my.zakupki.prom.ua/remote/dispatcher/state_purchase_view/24994522", "UA-2021-03-17-012327-c")</f>
        <v/>
      </c>
      <c r="C374" t="s" s="2">
        <v>3102</v>
      </c>
      <c r="D374" s="2">
        <f>HYPERLINK("https://my.zakupki.prom.ua/remote/dispatcher/state_contracting_view/8134216", "UA-2021-03-17-012327-c-c1")</f>
        <v/>
      </c>
      <c r="E374" t="s" s="1">
        <v>2041</v>
      </c>
      <c r="F374" t="s" s="1">
        <v>2952</v>
      </c>
      <c r="G374" t="s" s="1">
        <v>2952</v>
      </c>
      <c r="H374" t="s" s="1">
        <v>1445</v>
      </c>
      <c r="I374" t="s" s="1">
        <v>2178</v>
      </c>
      <c r="J374" t="s" s="1">
        <v>3293</v>
      </c>
      <c r="K374" t="s" s="1">
        <v>1007</v>
      </c>
      <c r="L374" t="s" s="1">
        <v>224</v>
      </c>
      <c r="M374" t="n" s="5">
        <v>5100.0</v>
      </c>
      <c r="N374" t="n" s="7">
        <v>44272.0</v>
      </c>
      <c r="O374" t="n" s="7">
        <v>44561.0</v>
      </c>
      <c r="P374" t="s" s="1">
        <v>3384</v>
      </c>
    </row>
    <row r="375" spans="1:16">
      <c r="A375" t="n" s="4">
        <v>371</v>
      </c>
      <c r="B375" s="2">
        <f>HYPERLINK("https://my.zakupki.prom.ua/remote/dispatcher/state_purchase_view/24965058", "UA-2021-03-17-001735-c")</f>
        <v/>
      </c>
      <c r="C375" t="s" s="2">
        <v>3102</v>
      </c>
      <c r="D375" s="2">
        <f>HYPERLINK("https://my.zakupki.prom.ua/remote/dispatcher/state_contracting_view/8120337", "UA-2021-03-17-001735-c-c1")</f>
        <v/>
      </c>
      <c r="E375" t="s" s="1">
        <v>1152</v>
      </c>
      <c r="F375" t="s" s="1">
        <v>2925</v>
      </c>
      <c r="G375" t="s" s="1">
        <v>2925</v>
      </c>
      <c r="H375" t="s" s="1">
        <v>1175</v>
      </c>
      <c r="I375" t="s" s="1">
        <v>2178</v>
      </c>
      <c r="J375" t="s" s="1">
        <v>2182</v>
      </c>
      <c r="K375" t="s" s="1">
        <v>431</v>
      </c>
      <c r="L375" t="s" s="1">
        <v>3056</v>
      </c>
      <c r="M375" t="n" s="5">
        <v>2150.0</v>
      </c>
      <c r="N375" t="n" s="7">
        <v>44272.0</v>
      </c>
      <c r="O375" t="n" s="7">
        <v>44561.0</v>
      </c>
      <c r="P375" t="s" s="1">
        <v>3384</v>
      </c>
    </row>
    <row r="376" spans="1:16">
      <c r="A376" t="n" s="4">
        <v>372</v>
      </c>
      <c r="B376" s="2">
        <f>HYPERLINK("https://my.zakupki.prom.ua/remote/dispatcher/state_purchase_view/25063731", "UA-2021-03-19-002038-b")</f>
        <v/>
      </c>
      <c r="C376" t="s" s="2">
        <v>3102</v>
      </c>
      <c r="D376" s="2">
        <f>HYPERLINK("https://my.zakupki.prom.ua/remote/dispatcher/state_contracting_view/8167465", "UA-2021-03-19-002038-b-b1")</f>
        <v/>
      </c>
      <c r="E376" t="s" s="1">
        <v>942</v>
      </c>
      <c r="F376" t="s" s="1">
        <v>2275</v>
      </c>
      <c r="G376" t="s" s="1">
        <v>2275</v>
      </c>
      <c r="H376" t="s" s="1">
        <v>261</v>
      </c>
      <c r="I376" t="s" s="1">
        <v>2178</v>
      </c>
      <c r="J376" t="s" s="1">
        <v>3356</v>
      </c>
      <c r="K376" t="s" s="1">
        <v>814</v>
      </c>
      <c r="L376" t="s" s="1">
        <v>515</v>
      </c>
      <c r="M376" t="n" s="5">
        <v>13900.0</v>
      </c>
      <c r="N376" t="n" s="7">
        <v>44274.0</v>
      </c>
      <c r="O376" t="n" s="7">
        <v>44561.0</v>
      </c>
      <c r="P376" t="s" s="1">
        <v>3384</v>
      </c>
    </row>
    <row r="377" spans="1:16">
      <c r="A377" t="n" s="4">
        <v>373</v>
      </c>
      <c r="B377" s="2">
        <f>HYPERLINK("https://my.zakupki.prom.ua/remote/dispatcher/state_purchase_view/25261202", "UA-2021-03-26-009484-c")</f>
        <v/>
      </c>
      <c r="C377" t="s" s="2">
        <v>3102</v>
      </c>
      <c r="D377" s="2">
        <f>HYPERLINK("https://my.zakupki.prom.ua/remote/dispatcher/state_contracting_view/8281754", "UA-2021-03-26-009484-c-c1")</f>
        <v/>
      </c>
      <c r="E377" t="s" s="1">
        <v>830</v>
      </c>
      <c r="F377" t="s" s="1">
        <v>2811</v>
      </c>
      <c r="G377" t="s" s="1">
        <v>2811</v>
      </c>
      <c r="H377" t="s" s="1">
        <v>1049</v>
      </c>
      <c r="I377" t="s" s="1">
        <v>2178</v>
      </c>
      <c r="J377" t="s" s="1">
        <v>3112</v>
      </c>
      <c r="K377" t="s" s="1">
        <v>802</v>
      </c>
      <c r="L377" t="s" s="1">
        <v>338</v>
      </c>
      <c r="M377" t="n" s="5">
        <v>1042.0</v>
      </c>
      <c r="N377" t="n" s="7">
        <v>44281.0</v>
      </c>
      <c r="O377" t="n" s="7">
        <v>44561.0</v>
      </c>
      <c r="P377" t="s" s="1">
        <v>3384</v>
      </c>
    </row>
    <row r="378" spans="1:16">
      <c r="A378" t="n" s="4">
        <v>374</v>
      </c>
      <c r="B378" s="2">
        <f>HYPERLINK("https://my.zakupki.prom.ua/remote/dispatcher/state_purchase_view/25368233", "UA-2021-03-30-000755-c")</f>
        <v/>
      </c>
      <c r="C378" t="s" s="2">
        <v>3102</v>
      </c>
      <c r="D378" s="2">
        <f>HYPERLINK("https://my.zakupki.prom.ua/remote/dispatcher/state_contracting_view/8313606", "UA-2021-03-30-000755-c-c1")</f>
        <v/>
      </c>
      <c r="E378" t="s" s="1">
        <v>1872</v>
      </c>
      <c r="F378" t="s" s="1">
        <v>3004</v>
      </c>
      <c r="G378" t="s" s="1">
        <v>3004</v>
      </c>
      <c r="H378" t="s" s="1">
        <v>1575</v>
      </c>
      <c r="I378" t="s" s="1">
        <v>2178</v>
      </c>
      <c r="J378" t="s" s="1">
        <v>3284</v>
      </c>
      <c r="K378" t="s" s="1">
        <v>771</v>
      </c>
      <c r="L378" t="s" s="1">
        <v>980</v>
      </c>
      <c r="M378" t="n" s="5">
        <v>1500.02</v>
      </c>
      <c r="N378" t="n" s="7">
        <v>44281.0</v>
      </c>
      <c r="O378" t="n" s="7">
        <v>44561.0</v>
      </c>
      <c r="P378" t="s" s="1">
        <v>3384</v>
      </c>
    </row>
    <row r="379" spans="1:16">
      <c r="A379" t="n" s="4">
        <v>375</v>
      </c>
      <c r="B379" s="2">
        <f>HYPERLINK("https://my.zakupki.prom.ua/remote/dispatcher/state_purchase_view/25271533", "UA-2021-03-26-013718-c")</f>
        <v/>
      </c>
      <c r="C379" t="s" s="2">
        <v>3102</v>
      </c>
      <c r="D379" s="2">
        <f>HYPERLINK("https://my.zakupki.prom.ua/remote/dispatcher/state_contracting_view/8304362", "UA-2021-03-26-013718-c-c1")</f>
        <v/>
      </c>
      <c r="E379" t="s" s="1">
        <v>1509</v>
      </c>
      <c r="F379" t="s" s="1">
        <v>2609</v>
      </c>
      <c r="G379" t="s" s="1">
        <v>3366</v>
      </c>
      <c r="H379" t="s" s="1">
        <v>774</v>
      </c>
      <c r="I379" t="s" s="1">
        <v>2178</v>
      </c>
      <c r="J379" t="s" s="1">
        <v>3285</v>
      </c>
      <c r="K379" t="s" s="1">
        <v>463</v>
      </c>
      <c r="L379" t="s" s="1">
        <v>220</v>
      </c>
      <c r="M379" t="n" s="5">
        <v>48663.6</v>
      </c>
      <c r="N379" t="n" s="7">
        <v>44281.0</v>
      </c>
      <c r="O379" t="n" s="7">
        <v>44561.0</v>
      </c>
      <c r="P379" t="s" s="1">
        <v>3384</v>
      </c>
    </row>
    <row r="380" spans="1:16">
      <c r="A380" t="n" s="4">
        <v>376</v>
      </c>
      <c r="B380" s="2">
        <f>HYPERLINK("https://my.zakupki.prom.ua/remote/dispatcher/state_purchase_view/24882958", "UA-2021-03-15-005109-b")</f>
        <v/>
      </c>
      <c r="C380" t="s" s="2">
        <v>3102</v>
      </c>
      <c r="D380" s="2">
        <f>HYPERLINK("https://my.zakupki.prom.ua/remote/dispatcher/state_contracting_view/8080920", "UA-2021-03-15-005109-b-b1")</f>
        <v/>
      </c>
      <c r="E380" t="s" s="1">
        <v>1717</v>
      </c>
      <c r="F380" t="s" s="1">
        <v>2923</v>
      </c>
      <c r="G380" t="s" s="1">
        <v>3463</v>
      </c>
      <c r="H380" t="s" s="1">
        <v>1175</v>
      </c>
      <c r="I380" t="s" s="1">
        <v>2178</v>
      </c>
      <c r="J380" t="s" s="1">
        <v>3294</v>
      </c>
      <c r="K380" t="s" s="1">
        <v>879</v>
      </c>
      <c r="L380" t="s" s="1">
        <v>155</v>
      </c>
      <c r="M380" t="n" s="5">
        <v>12250.8</v>
      </c>
      <c r="N380" t="n" s="7">
        <v>44270.0</v>
      </c>
      <c r="O380" t="n" s="7">
        <v>44561.0</v>
      </c>
      <c r="P380" t="s" s="1">
        <v>3384</v>
      </c>
    </row>
    <row r="381" spans="1:16">
      <c r="A381" t="n" s="4">
        <v>377</v>
      </c>
      <c r="B381" s="2">
        <f>HYPERLINK("https://my.zakupki.prom.ua/remote/dispatcher/state_purchase_view/25265722", "UA-2021-03-26-011244-c")</f>
        <v/>
      </c>
      <c r="C381" t="s" s="2">
        <v>3102</v>
      </c>
      <c r="D381" s="2">
        <f>HYPERLINK("https://my.zakupki.prom.ua/remote/dispatcher/state_contracting_view/8284694", "UA-2021-03-26-011244-c-c1")</f>
        <v/>
      </c>
      <c r="E381" t="s" s="1">
        <v>1148</v>
      </c>
      <c r="F381" t="s" s="1">
        <v>2655</v>
      </c>
      <c r="G381" t="s" s="1">
        <v>3455</v>
      </c>
      <c r="H381" t="s" s="1">
        <v>774</v>
      </c>
      <c r="I381" t="s" s="1">
        <v>2178</v>
      </c>
      <c r="J381" t="s" s="1">
        <v>2165</v>
      </c>
      <c r="K381" t="s" s="1">
        <v>743</v>
      </c>
      <c r="L381" t="s" s="1">
        <v>1231</v>
      </c>
      <c r="M381" t="n" s="5">
        <v>57520.0</v>
      </c>
      <c r="N381" t="n" s="7">
        <v>44280.0</v>
      </c>
      <c r="O381" t="n" s="7">
        <v>44561.0</v>
      </c>
      <c r="P381" t="s" s="1">
        <v>3384</v>
      </c>
    </row>
    <row r="382" spans="1:16">
      <c r="A382" t="n" s="4">
        <v>378</v>
      </c>
      <c r="B382" s="2">
        <f>HYPERLINK("https://my.zakupki.prom.ua/remote/dispatcher/state_purchase_view/32317438", "UA-2021-11-29-001126-c")</f>
        <v/>
      </c>
      <c r="C382" t="s" s="2">
        <v>3102</v>
      </c>
      <c r="D382" s="2">
        <f>HYPERLINK("https://my.zakupki.prom.ua/remote/dispatcher/state_contracting_view/11567244", "UA-2021-11-29-001126-c-c1")</f>
        <v/>
      </c>
      <c r="E382" t="s" s="1">
        <v>2111</v>
      </c>
      <c r="F382" t="s" s="1">
        <v>2677</v>
      </c>
      <c r="G382" t="s" s="1">
        <v>3510</v>
      </c>
      <c r="H382" t="s" s="1">
        <v>774</v>
      </c>
      <c r="I382" t="s" s="1">
        <v>2178</v>
      </c>
      <c r="J382" t="s" s="1">
        <v>3212</v>
      </c>
      <c r="K382" t="s" s="1">
        <v>936</v>
      </c>
      <c r="L382" t="s" s="1">
        <v>1614</v>
      </c>
      <c r="M382" t="n" s="5">
        <v>46360.0</v>
      </c>
      <c r="N382" t="n" s="7">
        <v>44529.0</v>
      </c>
      <c r="O382" t="n" s="7">
        <v>44561.0</v>
      </c>
      <c r="P382" t="s" s="1">
        <v>3384</v>
      </c>
    </row>
    <row r="383" spans="1:16">
      <c r="A383" t="n" s="4">
        <v>379</v>
      </c>
      <c r="B383" s="2">
        <f>HYPERLINK("https://my.zakupki.prom.ua/remote/dispatcher/state_purchase_view/24745020", "UA-2021-03-10-005796-b")</f>
        <v/>
      </c>
      <c r="C383" t="s" s="2">
        <v>3102</v>
      </c>
      <c r="D383" s="2">
        <f>HYPERLINK("https://my.zakupki.prom.ua/remote/dispatcher/state_contracting_view/8014663", "UA-2021-03-10-005796-b-b1")</f>
        <v/>
      </c>
      <c r="E383" t="s" s="1">
        <v>152</v>
      </c>
      <c r="F383" t="s" s="1">
        <v>2668</v>
      </c>
      <c r="G383" t="s" s="1">
        <v>2668</v>
      </c>
      <c r="H383" t="s" s="1">
        <v>774</v>
      </c>
      <c r="I383" t="s" s="1">
        <v>2178</v>
      </c>
      <c r="J383" t="s" s="1">
        <v>3277</v>
      </c>
      <c r="K383" t="s" s="1">
        <v>519</v>
      </c>
      <c r="L383" t="s" s="1">
        <v>270</v>
      </c>
      <c r="M383" t="n" s="5">
        <v>111400.0</v>
      </c>
      <c r="N383" t="n" s="7">
        <v>44264.0</v>
      </c>
      <c r="O383" t="n" s="7">
        <v>44561.0</v>
      </c>
      <c r="P383" t="s" s="1">
        <v>3384</v>
      </c>
    </row>
    <row r="384" spans="1:16">
      <c r="A384" t="n" s="4">
        <v>380</v>
      </c>
      <c r="B384" s="2">
        <f>HYPERLINK("https://my.zakupki.prom.ua/remote/dispatcher/state_purchase_view/30712874", "UA-2021-10-12-005266-b")</f>
        <v/>
      </c>
      <c r="C384" t="s" s="2">
        <v>3102</v>
      </c>
      <c r="D384" s="2">
        <f>HYPERLINK("https://my.zakupki.prom.ua/remote/dispatcher/state_contracting_view/10839876", "UA-2021-10-12-005266-b-b1")</f>
        <v/>
      </c>
      <c r="E384" t="s" s="1">
        <v>1763</v>
      </c>
      <c r="F384" t="s" s="1">
        <v>2592</v>
      </c>
      <c r="G384" t="s" s="1">
        <v>2592</v>
      </c>
      <c r="H384" t="s" s="1">
        <v>774</v>
      </c>
      <c r="I384" t="s" s="1">
        <v>2178</v>
      </c>
      <c r="J384" t="s" s="1">
        <v>3221</v>
      </c>
      <c r="K384" t="s" s="1">
        <v>519</v>
      </c>
      <c r="L384" t="s" s="1">
        <v>1508</v>
      </c>
      <c r="M384" t="n" s="5">
        <v>43545.84</v>
      </c>
      <c r="N384" t="n" s="7">
        <v>44481.0</v>
      </c>
      <c r="O384" t="n" s="7">
        <v>44561.0</v>
      </c>
      <c r="P384" t="s" s="1">
        <v>3384</v>
      </c>
    </row>
    <row r="385" spans="1:16">
      <c r="A385" t="n" s="4">
        <v>381</v>
      </c>
      <c r="B385" s="2">
        <f>HYPERLINK("https://my.zakupki.prom.ua/remote/dispatcher/state_purchase_view/25911674", "UA-2021-04-16-004441-a")</f>
        <v/>
      </c>
      <c r="C385" t="s" s="2">
        <v>3102</v>
      </c>
      <c r="D385" s="2">
        <f>HYPERLINK("https://my.zakupki.prom.ua/remote/dispatcher/state_contracting_view/8571297", "UA-2021-04-16-004441-a-a1")</f>
        <v/>
      </c>
      <c r="E385" t="s" s="1">
        <v>242</v>
      </c>
      <c r="F385" t="s" s="1">
        <v>2667</v>
      </c>
      <c r="G385" t="s" s="1">
        <v>3493</v>
      </c>
      <c r="H385" t="s" s="1">
        <v>774</v>
      </c>
      <c r="I385" t="s" s="1">
        <v>2178</v>
      </c>
      <c r="J385" t="s" s="1">
        <v>3277</v>
      </c>
      <c r="K385" t="s" s="1">
        <v>519</v>
      </c>
      <c r="L385" t="s" s="1">
        <v>991</v>
      </c>
      <c r="M385" t="n" s="5">
        <v>109349.6</v>
      </c>
      <c r="N385" t="n" s="7">
        <v>44302.0</v>
      </c>
      <c r="O385" t="n" s="7">
        <v>44561.0</v>
      </c>
      <c r="P385" t="s" s="1">
        <v>3384</v>
      </c>
    </row>
    <row r="386" spans="1:16">
      <c r="A386" t="n" s="4">
        <v>382</v>
      </c>
      <c r="B386" s="2">
        <f>HYPERLINK("https://my.zakupki.prom.ua/remote/dispatcher/state_purchase_view/25469032", "UA-2021-04-02-000345-b")</f>
        <v/>
      </c>
      <c r="C386" t="s" s="2">
        <v>3102</v>
      </c>
      <c r="D386" s="2">
        <f>HYPERLINK("https://my.zakupki.prom.ua/remote/dispatcher/state_contracting_view/8360315", "UA-2021-04-02-000345-b-b1")</f>
        <v/>
      </c>
      <c r="E386" t="s" s="1">
        <v>1269</v>
      </c>
      <c r="F386" t="s" s="1">
        <v>2194</v>
      </c>
      <c r="G386" t="s" s="1">
        <v>3513</v>
      </c>
      <c r="H386" t="s" s="1">
        <v>774</v>
      </c>
      <c r="I386" t="s" s="1">
        <v>2178</v>
      </c>
      <c r="J386" t="s" s="1">
        <v>3277</v>
      </c>
      <c r="K386" t="s" s="1">
        <v>519</v>
      </c>
      <c r="L386" t="s" s="1">
        <v>705</v>
      </c>
      <c r="M386" t="n" s="5">
        <v>165932.5</v>
      </c>
      <c r="N386" t="n" s="7">
        <v>44287.0</v>
      </c>
      <c r="O386" t="n" s="7">
        <v>44561.0</v>
      </c>
      <c r="P386" t="s" s="1">
        <v>3384</v>
      </c>
    </row>
    <row r="387" spans="1:16">
      <c r="A387" t="n" s="4">
        <v>383</v>
      </c>
      <c r="B387" s="2">
        <f>HYPERLINK("https://my.zakupki.prom.ua/remote/dispatcher/state_purchase_view/24363276", "UA-2021-02-24-011629-b")</f>
        <v/>
      </c>
      <c r="C387" t="s" s="2">
        <v>3102</v>
      </c>
      <c r="D387" s="2">
        <f>HYPERLINK("https://my.zakupki.prom.ua/remote/dispatcher/state_contracting_view/7833101", "UA-2021-02-24-011629-b-b1")</f>
        <v/>
      </c>
      <c r="E387" t="s" s="1">
        <v>1525</v>
      </c>
      <c r="F387" t="s" s="1">
        <v>2764</v>
      </c>
      <c r="G387" t="s" s="1">
        <v>3507</v>
      </c>
      <c r="H387" t="s" s="1">
        <v>917</v>
      </c>
      <c r="I387" t="s" s="1">
        <v>2178</v>
      </c>
      <c r="J387" t="s" s="1">
        <v>3129</v>
      </c>
      <c r="K387" t="s" s="1">
        <v>729</v>
      </c>
      <c r="L387" t="s" s="1">
        <v>419</v>
      </c>
      <c r="M387" t="n" s="5">
        <v>45530.4</v>
      </c>
      <c r="N387" t="n" s="7">
        <v>44251.0</v>
      </c>
      <c r="O387" t="n" s="7">
        <v>44561.0</v>
      </c>
      <c r="P387" t="s" s="1">
        <v>3384</v>
      </c>
    </row>
    <row r="388" spans="1:16">
      <c r="A388" t="n" s="4">
        <v>384</v>
      </c>
      <c r="B388" s="2">
        <f>HYPERLINK("https://my.zakupki.prom.ua/remote/dispatcher/state_purchase_view/25075309", "UA-2021-03-19-005305-b")</f>
        <v/>
      </c>
      <c r="C388" t="s" s="2">
        <v>3102</v>
      </c>
      <c r="D388" s="2">
        <f>HYPERLINK("https://my.zakupki.prom.ua/remote/dispatcher/state_contracting_view/8180791", "UA-2021-03-19-005305-b-b1")</f>
        <v/>
      </c>
      <c r="E388" t="s" s="1">
        <v>1612</v>
      </c>
      <c r="F388" t="s" s="1">
        <v>2296</v>
      </c>
      <c r="G388" t="s" s="1">
        <v>2296</v>
      </c>
      <c r="H388" t="s" s="1">
        <v>274</v>
      </c>
      <c r="I388" t="s" s="1">
        <v>2178</v>
      </c>
      <c r="J388" t="s" s="1">
        <v>3356</v>
      </c>
      <c r="K388" t="s" s="1">
        <v>814</v>
      </c>
      <c r="L388" t="s" s="1">
        <v>537</v>
      </c>
      <c r="M388" t="n" s="5">
        <v>16900.0</v>
      </c>
      <c r="N388" t="n" s="7">
        <v>44274.0</v>
      </c>
      <c r="O388" t="n" s="7">
        <v>44561.0</v>
      </c>
      <c r="P388" t="s" s="1">
        <v>3384</v>
      </c>
    </row>
    <row r="389" spans="1:16">
      <c r="A389" t="n" s="4">
        <v>385</v>
      </c>
      <c r="B389" s="2">
        <f>HYPERLINK("https://my.zakupki.prom.ua/remote/dispatcher/state_purchase_view/26757576", "UA-2021-05-21-002431-b")</f>
        <v/>
      </c>
      <c r="C389" t="s" s="2">
        <v>3102</v>
      </c>
      <c r="D389" s="2">
        <f>HYPERLINK("https://my.zakupki.prom.ua/remote/dispatcher/state_contracting_view/9447767", "UA-2021-05-21-002431-b-b1")</f>
        <v/>
      </c>
      <c r="E389" t="s" s="1">
        <v>1897</v>
      </c>
      <c r="F389" t="s" s="1">
        <v>3040</v>
      </c>
      <c r="G389" t="s" s="1">
        <v>3152</v>
      </c>
      <c r="H389" t="s" s="1">
        <v>777</v>
      </c>
      <c r="I389" t="s" s="1">
        <v>2142</v>
      </c>
      <c r="J389" t="s" s="1">
        <v>3339</v>
      </c>
      <c r="K389" t="s" s="1">
        <v>464</v>
      </c>
      <c r="L389" t="s" s="1">
        <v>1319</v>
      </c>
      <c r="M389" t="n" s="5">
        <v>93656.0</v>
      </c>
      <c r="N389" t="n" s="7">
        <v>44371.0</v>
      </c>
      <c r="O389" t="n" s="7">
        <v>44561.0</v>
      </c>
      <c r="P389" t="s" s="1">
        <v>3384</v>
      </c>
    </row>
    <row r="390" spans="1:16">
      <c r="A390" t="n" s="4">
        <v>386</v>
      </c>
      <c r="B390" s="2">
        <f>HYPERLINK("https://my.zakupki.prom.ua/remote/dispatcher/state_purchase_view/23793294", "UA-2021-02-09-001411-a")</f>
        <v/>
      </c>
      <c r="C390" t="s" s="2">
        <v>3102</v>
      </c>
      <c r="D390" s="2">
        <f>HYPERLINK("https://my.zakupki.prom.ua/remote/dispatcher/state_contracting_view/7771462", "UA-2021-02-09-001411-a-a1")</f>
        <v/>
      </c>
      <c r="E390" t="s" s="1">
        <v>1305</v>
      </c>
      <c r="F390" t="s" s="1">
        <v>2938</v>
      </c>
      <c r="G390" t="s" s="1">
        <v>2938</v>
      </c>
      <c r="H390" t="s" s="1">
        <v>1356</v>
      </c>
      <c r="I390" t="s" s="1">
        <v>3142</v>
      </c>
      <c r="J390" t="s" s="1">
        <v>2187</v>
      </c>
      <c r="K390" t="s" s="1">
        <v>52</v>
      </c>
      <c r="L390" t="s" s="1">
        <v>669</v>
      </c>
      <c r="M390" t="n" s="5">
        <v>204976.9</v>
      </c>
      <c r="N390" t="n" s="7">
        <v>44249.0</v>
      </c>
      <c r="O390" t="n" s="7">
        <v>44561.0</v>
      </c>
      <c r="P390" t="s" s="1">
        <v>3384</v>
      </c>
    </row>
    <row r="391" spans="1:16">
      <c r="A391" t="n" s="4">
        <v>387</v>
      </c>
      <c r="B391" s="2">
        <f>HYPERLINK("https://my.zakupki.prom.ua/remote/dispatcher/state_purchase_view/27065187", "UA-2021-06-01-008426-b")</f>
        <v/>
      </c>
      <c r="C391" t="s" s="2">
        <v>3102</v>
      </c>
      <c r="D391" s="2">
        <f>HYPERLINK("https://my.zakupki.prom.ua/remote/dispatcher/state_contracting_view/9125811", "UA-2021-06-01-008426-b-b1")</f>
        <v/>
      </c>
      <c r="E391" t="s" s="1">
        <v>1400</v>
      </c>
      <c r="F391" t="s" s="1">
        <v>2388</v>
      </c>
      <c r="G391" t="s" s="1">
        <v>3394</v>
      </c>
      <c r="H391" t="s" s="1">
        <v>536</v>
      </c>
      <c r="I391" t="s" s="1">
        <v>2178</v>
      </c>
      <c r="J391" t="s" s="1">
        <v>3161</v>
      </c>
      <c r="K391" t="s" s="1">
        <v>745</v>
      </c>
      <c r="L391" t="s" s="1">
        <v>1253</v>
      </c>
      <c r="M391" t="n" s="5">
        <v>22350.0</v>
      </c>
      <c r="N391" t="n" s="7">
        <v>44348.0</v>
      </c>
      <c r="O391" t="n" s="7">
        <v>44561.0</v>
      </c>
      <c r="P391" t="s" s="1">
        <v>3384</v>
      </c>
    </row>
    <row r="392" spans="1:16">
      <c r="A392" t="n" s="4">
        <v>388</v>
      </c>
      <c r="B392" s="2">
        <f>HYPERLINK("https://my.zakupki.prom.ua/remote/dispatcher/state_purchase_view/27081668", "UA-2021-06-02-000641-b")</f>
        <v/>
      </c>
      <c r="C392" t="s" s="2">
        <v>3102</v>
      </c>
      <c r="D392" s="2">
        <f>HYPERLINK("https://my.zakupki.prom.ua/remote/dispatcher/state_contracting_view/9130297", "UA-2021-06-02-000641-b-b1")</f>
        <v/>
      </c>
      <c r="E392" t="s" s="1">
        <v>1750</v>
      </c>
      <c r="F392" t="s" s="1">
        <v>2301</v>
      </c>
      <c r="G392" t="s" s="1">
        <v>2301</v>
      </c>
      <c r="H392" t="s" s="1">
        <v>276</v>
      </c>
      <c r="I392" t="s" s="1">
        <v>2178</v>
      </c>
      <c r="J392" t="s" s="1">
        <v>3356</v>
      </c>
      <c r="K392" t="s" s="1">
        <v>814</v>
      </c>
      <c r="L392" t="s" s="1">
        <v>1255</v>
      </c>
      <c r="M392" t="n" s="5">
        <v>5200.0</v>
      </c>
      <c r="N392" t="n" s="7">
        <v>44348.0</v>
      </c>
      <c r="O392" t="n" s="7">
        <v>44561.0</v>
      </c>
      <c r="P392" t="s" s="1">
        <v>3384</v>
      </c>
    </row>
    <row r="393" spans="1:16">
      <c r="A393" t="n" s="4">
        <v>389</v>
      </c>
      <c r="B393" s="2">
        <f>HYPERLINK("https://my.zakupki.prom.ua/remote/dispatcher/state_purchase_view/27065840", "UA-2021-06-01-008592-b")</f>
        <v/>
      </c>
      <c r="C393" t="s" s="2">
        <v>3102</v>
      </c>
      <c r="D393" s="2">
        <f>HYPERLINK("https://my.zakupki.prom.ua/remote/dispatcher/state_contracting_view/9125654", "UA-2021-06-01-008592-b-b1")</f>
        <v/>
      </c>
      <c r="E393" t="s" s="1">
        <v>1493</v>
      </c>
      <c r="F393" t="s" s="1">
        <v>2767</v>
      </c>
      <c r="G393" t="s" s="1">
        <v>2767</v>
      </c>
      <c r="H393" t="s" s="1">
        <v>921</v>
      </c>
      <c r="I393" t="s" s="1">
        <v>2178</v>
      </c>
      <c r="J393" t="s" s="1">
        <v>3161</v>
      </c>
      <c r="K393" t="s" s="1">
        <v>745</v>
      </c>
      <c r="L393" t="s" s="1">
        <v>1254</v>
      </c>
      <c r="M393" t="n" s="5">
        <v>7500.0</v>
      </c>
      <c r="N393" t="n" s="7">
        <v>44348.0</v>
      </c>
      <c r="O393" t="n" s="7">
        <v>44561.0</v>
      </c>
      <c r="P393" t="s" s="1">
        <v>3384</v>
      </c>
    </row>
    <row r="394" spans="1:16">
      <c r="A394" t="n" s="4">
        <v>390</v>
      </c>
      <c r="B394" s="2">
        <f>HYPERLINK("https://my.zakupki.prom.ua/remote/dispatcher/state_purchase_view/30275785", "UA-2021-09-27-011113-b")</f>
        <v/>
      </c>
      <c r="C394" t="s" s="2">
        <v>3102</v>
      </c>
      <c r="D394" s="2">
        <f>HYPERLINK("https://my.zakupki.prom.ua/remote/dispatcher/state_contracting_view/10627536", "UA-2021-09-27-011113-b-b1")</f>
        <v/>
      </c>
      <c r="E394" t="s" s="1">
        <v>1579</v>
      </c>
      <c r="F394" t="s" s="1">
        <v>2948</v>
      </c>
      <c r="G394" t="s" s="1">
        <v>2948</v>
      </c>
      <c r="H394" t="s" s="1">
        <v>1444</v>
      </c>
      <c r="I394" t="s" s="1">
        <v>2178</v>
      </c>
      <c r="J394" t="s" s="1">
        <v>2158</v>
      </c>
      <c r="K394" t="s" s="1">
        <v>432</v>
      </c>
      <c r="L394" t="s" s="1">
        <v>442</v>
      </c>
      <c r="M394" t="n" s="5">
        <v>2372.63</v>
      </c>
      <c r="N394" t="n" s="7">
        <v>44466.0</v>
      </c>
      <c r="O394" t="n" s="7">
        <v>44561.0</v>
      </c>
      <c r="P394" t="s" s="1">
        <v>3384</v>
      </c>
    </row>
    <row r="395" spans="1:16">
      <c r="A395" t="n" s="4">
        <v>391</v>
      </c>
      <c r="B395" s="2">
        <f>HYPERLINK("https://my.zakupki.prom.ua/remote/dispatcher/state_purchase_view/30286590", "UA-2021-09-28-001538-b")</f>
        <v/>
      </c>
      <c r="C395" t="s" s="2">
        <v>3102</v>
      </c>
      <c r="D395" s="2">
        <f>HYPERLINK("https://my.zakupki.prom.ua/remote/dispatcher/state_contracting_view/10632629", "UA-2021-09-28-001538-b-b1")</f>
        <v/>
      </c>
      <c r="E395" t="s" s="1">
        <v>1538</v>
      </c>
      <c r="F395" t="s" s="1">
        <v>2878</v>
      </c>
      <c r="G395" t="s" s="1">
        <v>2878</v>
      </c>
      <c r="H395" t="s" s="1">
        <v>1081</v>
      </c>
      <c r="I395" t="s" s="1">
        <v>2178</v>
      </c>
      <c r="J395" t="s" s="1">
        <v>2141</v>
      </c>
      <c r="K395" t="s" s="1">
        <v>438</v>
      </c>
      <c r="L395" t="s" s="1">
        <v>1475</v>
      </c>
      <c r="M395" t="n" s="5">
        <v>290.0</v>
      </c>
      <c r="N395" t="n" s="7">
        <v>44467.0</v>
      </c>
      <c r="O395" t="n" s="7">
        <v>44561.0</v>
      </c>
      <c r="P395" t="s" s="1">
        <v>3384</v>
      </c>
    </row>
    <row r="396" spans="1:16">
      <c r="A396" t="n" s="4">
        <v>392</v>
      </c>
      <c r="B396" s="2">
        <f>HYPERLINK("https://my.zakupki.prom.ua/remote/dispatcher/state_purchase_view/25562255", "UA-2021-04-06-002756-c")</f>
        <v/>
      </c>
      <c r="C396" t="s" s="2">
        <v>3102</v>
      </c>
      <c r="D396" s="2">
        <f>HYPERLINK("https://my.zakupki.prom.ua/remote/dispatcher/state_contracting_view/8404988", "UA-2021-04-06-002756-c-c1")</f>
        <v/>
      </c>
      <c r="E396" t="s" s="1">
        <v>1203</v>
      </c>
      <c r="F396" t="s" s="1">
        <v>2753</v>
      </c>
      <c r="G396" t="s" s="1">
        <v>2753</v>
      </c>
      <c r="H396" t="s" s="1">
        <v>914</v>
      </c>
      <c r="I396" t="s" s="1">
        <v>2178</v>
      </c>
      <c r="J396" t="s" s="1">
        <v>3356</v>
      </c>
      <c r="K396" t="s" s="1">
        <v>814</v>
      </c>
      <c r="L396" t="s" s="1">
        <v>819</v>
      </c>
      <c r="M396" t="n" s="5">
        <v>9525.0</v>
      </c>
      <c r="N396" t="n" s="7">
        <v>44292.0</v>
      </c>
      <c r="O396" t="n" s="7">
        <v>44561.0</v>
      </c>
      <c r="P396" t="s" s="1">
        <v>3384</v>
      </c>
    </row>
    <row r="397" spans="1:16">
      <c r="A397" t="n" s="4">
        <v>393</v>
      </c>
      <c r="B397" s="2">
        <f>HYPERLINK("https://my.zakupki.prom.ua/remote/dispatcher/state_purchase_view/26709953", "UA-2021-05-20-001462-b")</f>
        <v/>
      </c>
      <c r="C397" t="s" s="2">
        <v>3102</v>
      </c>
      <c r="D397" s="2">
        <f>HYPERLINK("https://my.zakupki.prom.ua/remote/dispatcher/state_contracting_view/8953396", "UA-2021-05-20-001462-b-b1")</f>
        <v/>
      </c>
      <c r="E397" t="s" s="1">
        <v>440</v>
      </c>
      <c r="F397" t="s" s="1">
        <v>2543</v>
      </c>
      <c r="G397" t="s" s="1">
        <v>3538</v>
      </c>
      <c r="H397" t="s" s="1">
        <v>759</v>
      </c>
      <c r="I397" t="s" s="1">
        <v>2178</v>
      </c>
      <c r="J397" t="s" s="1">
        <v>3286</v>
      </c>
      <c r="K397" t="s" s="1">
        <v>820</v>
      </c>
      <c r="L397" t="s" s="1">
        <v>1236</v>
      </c>
      <c r="M397" t="n" s="5">
        <v>32744.0</v>
      </c>
      <c r="N397" t="n" s="7">
        <v>44336.0</v>
      </c>
      <c r="O397" t="n" s="7">
        <v>44561.0</v>
      </c>
      <c r="P397" t="s" s="1">
        <v>3384</v>
      </c>
    </row>
    <row r="398" spans="1:16">
      <c r="A398" t="n" s="4">
        <v>394</v>
      </c>
      <c r="B398" s="2">
        <f>HYPERLINK("https://my.zakupki.prom.ua/remote/dispatcher/state_purchase_view/26482934", "UA-2021-05-13-001443-b")</f>
        <v/>
      </c>
      <c r="C398" t="s" s="2">
        <v>3102</v>
      </c>
      <c r="D398" s="2">
        <f>HYPERLINK("https://my.zakupki.prom.ua/remote/dispatcher/state_contracting_view/8861349", "UA-2021-05-13-001443-b-b1")</f>
        <v/>
      </c>
      <c r="E398" t="s" s="1">
        <v>2075</v>
      </c>
      <c r="F398" t="s" s="1">
        <v>2224</v>
      </c>
      <c r="G398" t="s" s="1">
        <v>2224</v>
      </c>
      <c r="H398" t="s" s="1">
        <v>48</v>
      </c>
      <c r="I398" t="s" s="1">
        <v>2178</v>
      </c>
      <c r="J398" t="s" s="1">
        <v>3308</v>
      </c>
      <c r="K398" t="s" s="1">
        <v>674</v>
      </c>
      <c r="L398" t="s" s="1">
        <v>1192</v>
      </c>
      <c r="M398" t="n" s="5">
        <v>34560.0</v>
      </c>
      <c r="N398" t="n" s="7">
        <v>44329.0</v>
      </c>
      <c r="O398" t="n" s="7">
        <v>44561.0</v>
      </c>
      <c r="P398" t="s" s="1">
        <v>3384</v>
      </c>
    </row>
    <row r="399" spans="1:16">
      <c r="A399" t="n" s="4">
        <v>395</v>
      </c>
      <c r="B399" s="2">
        <f>HYPERLINK("https://my.zakupki.prom.ua/remote/dispatcher/state_purchase_view/26047305", "UA-2021-04-22-000591-a")</f>
        <v/>
      </c>
      <c r="C399" t="s" s="2">
        <v>3102</v>
      </c>
      <c r="D399" s="2">
        <f>HYPERLINK("https://my.zakupki.prom.ua/remote/dispatcher/state_contracting_view/8635991", "UA-2021-04-22-000591-a-a1")</f>
        <v/>
      </c>
      <c r="E399" t="s" s="1">
        <v>250</v>
      </c>
      <c r="F399" t="s" s="1">
        <v>2286</v>
      </c>
      <c r="G399" t="s" s="1">
        <v>2286</v>
      </c>
      <c r="H399" t="s" s="1">
        <v>266</v>
      </c>
      <c r="I399" t="s" s="1">
        <v>2178</v>
      </c>
      <c r="J399" t="s" s="1">
        <v>3356</v>
      </c>
      <c r="K399" t="s" s="1">
        <v>814</v>
      </c>
      <c r="L399" t="s" s="1">
        <v>1013</v>
      </c>
      <c r="M399" t="n" s="5">
        <v>2500.0</v>
      </c>
      <c r="N399" t="n" s="7">
        <v>44306.0</v>
      </c>
      <c r="O399" t="n" s="7">
        <v>44561.0</v>
      </c>
      <c r="P399" t="s" s="1">
        <v>3384</v>
      </c>
    </row>
    <row r="400" spans="1:16">
      <c r="A400" t="n" s="4">
        <v>396</v>
      </c>
      <c r="B400" s="2">
        <f>HYPERLINK("https://my.zakupki.prom.ua/remote/dispatcher/state_purchase_view/23374638", "UA-2021-01-28-004199-b")</f>
        <v/>
      </c>
      <c r="C400" t="s" s="2">
        <v>3102</v>
      </c>
      <c r="D400" s="2">
        <f>HYPERLINK("https://my.zakupki.prom.ua/remote/dispatcher/state_contracting_view/7384640", "UA-2021-01-28-004199-b-b1")</f>
        <v/>
      </c>
      <c r="E400" t="s" s="1">
        <v>1755</v>
      </c>
      <c r="F400" t="s" s="1">
        <v>2249</v>
      </c>
      <c r="G400" t="s" s="1">
        <v>2249</v>
      </c>
      <c r="H400" t="s" s="1">
        <v>245</v>
      </c>
      <c r="I400" t="s" s="1">
        <v>2178</v>
      </c>
      <c r="J400" t="s" s="1">
        <v>3158</v>
      </c>
      <c r="K400" t="s" s="1">
        <v>680</v>
      </c>
      <c r="L400" t="s" s="1">
        <v>1334</v>
      </c>
      <c r="M400" t="n" s="5">
        <v>49880.0</v>
      </c>
      <c r="N400" t="n" s="7">
        <v>44224.0</v>
      </c>
      <c r="O400" t="n" s="7">
        <v>44561.0</v>
      </c>
      <c r="P400" t="s" s="1">
        <v>3384</v>
      </c>
    </row>
    <row r="401" spans="1:16">
      <c r="A401" t="n" s="4">
        <v>397</v>
      </c>
      <c r="B401" s="2">
        <f>HYPERLINK("https://my.zakupki.prom.ua/remote/dispatcher/state_purchase_view/23416735", "UA-2021-01-29-001294-b")</f>
        <v/>
      </c>
      <c r="C401" t="s" s="2">
        <v>3102</v>
      </c>
      <c r="D401" s="2">
        <f>HYPERLINK("https://my.zakupki.prom.ua/remote/dispatcher/state_contracting_view/7403136", "UA-2021-01-29-001294-b-b1")</f>
        <v/>
      </c>
      <c r="E401" t="s" s="1">
        <v>1098</v>
      </c>
      <c r="F401" t="s" s="1">
        <v>2975</v>
      </c>
      <c r="G401" t="s" s="1">
        <v>2975</v>
      </c>
      <c r="H401" t="s" s="1">
        <v>1460</v>
      </c>
      <c r="I401" t="s" s="1">
        <v>2178</v>
      </c>
      <c r="J401" t="s" s="1">
        <v>3260</v>
      </c>
      <c r="K401" t="s" s="1">
        <v>990</v>
      </c>
      <c r="L401" t="s" s="1">
        <v>1352</v>
      </c>
      <c r="M401" t="n" s="5">
        <v>42000.0</v>
      </c>
      <c r="N401" t="n" s="7">
        <v>44224.0</v>
      </c>
      <c r="O401" t="n" s="7">
        <v>44561.0</v>
      </c>
      <c r="P401" t="s" s="1">
        <v>3384</v>
      </c>
    </row>
    <row r="402" spans="1:16">
      <c r="A402" t="n" s="4">
        <v>398</v>
      </c>
      <c r="B402" s="2">
        <f>HYPERLINK("https://my.zakupki.prom.ua/remote/dispatcher/state_purchase_view/23264973", "UA-2021-01-26-004365-b")</f>
        <v/>
      </c>
      <c r="C402" t="s" s="2">
        <v>3102</v>
      </c>
      <c r="D402" s="2">
        <f>HYPERLINK("https://my.zakupki.prom.ua/remote/dispatcher/state_contracting_view/7337763", "UA-2021-01-26-004365-b-b1")</f>
        <v/>
      </c>
      <c r="E402" t="s" s="1">
        <v>2073</v>
      </c>
      <c r="F402" t="s" s="1">
        <v>2905</v>
      </c>
      <c r="G402" t="s" s="1">
        <v>2905</v>
      </c>
      <c r="H402" t="s" s="1">
        <v>1110</v>
      </c>
      <c r="I402" t="s" s="1">
        <v>2178</v>
      </c>
      <c r="J402" t="s" s="1">
        <v>3260</v>
      </c>
      <c r="K402" t="s" s="1">
        <v>990</v>
      </c>
      <c r="L402" t="s" s="1">
        <v>1208</v>
      </c>
      <c r="M402" t="n" s="5">
        <v>44000.0</v>
      </c>
      <c r="N402" t="n" s="7">
        <v>44221.0</v>
      </c>
      <c r="O402" t="n" s="7">
        <v>44561.0</v>
      </c>
      <c r="P402" t="s" s="1">
        <v>3384</v>
      </c>
    </row>
    <row r="403" spans="1:16">
      <c r="A403" t="n" s="4">
        <v>399</v>
      </c>
      <c r="B403" s="2">
        <f>HYPERLINK("https://my.zakupki.prom.ua/remote/dispatcher/state_purchase_view/28150251", "UA-2021-07-12-004622-c")</f>
        <v/>
      </c>
      <c r="C403" t="s" s="2">
        <v>3102</v>
      </c>
      <c r="D403" s="2">
        <f>HYPERLINK("https://my.zakupki.prom.ua/remote/dispatcher/state_contracting_view/9641172", "UA-2021-07-12-004622-c-c1")</f>
        <v/>
      </c>
      <c r="E403" t="s" s="1">
        <v>1471</v>
      </c>
      <c r="F403" t="s" s="1">
        <v>2984</v>
      </c>
      <c r="G403" t="s" s="1">
        <v>2984</v>
      </c>
      <c r="H403" t="s" s="1">
        <v>1527</v>
      </c>
      <c r="I403" t="s" s="1">
        <v>2178</v>
      </c>
      <c r="J403" t="s" s="1">
        <v>2160</v>
      </c>
      <c r="K403" t="s" s="1">
        <v>40</v>
      </c>
      <c r="L403" t="s" s="1">
        <v>60</v>
      </c>
      <c r="M403" t="n" s="5">
        <v>6643.2</v>
      </c>
      <c r="N403" t="n" s="7">
        <v>44389.0</v>
      </c>
      <c r="O403" t="n" s="7">
        <v>44561.0</v>
      </c>
      <c r="P403" t="s" s="1">
        <v>3384</v>
      </c>
    </row>
    <row r="404" spans="1:16">
      <c r="A404" t="n" s="4">
        <v>400</v>
      </c>
      <c r="B404" s="2">
        <f>HYPERLINK("https://my.zakupki.prom.ua/remote/dispatcher/state_purchase_view/30778343", "UA-2021-10-13-010027-b")</f>
        <v/>
      </c>
      <c r="C404" t="s" s="2">
        <v>3102</v>
      </c>
      <c r="D404" s="2">
        <f>HYPERLINK("https://my.zakupki.prom.ua/remote/dispatcher/state_contracting_view/10859499", "UA-2021-10-13-010027-b-b1")</f>
        <v/>
      </c>
      <c r="E404" t="s" s="1">
        <v>2088</v>
      </c>
      <c r="F404" t="s" s="1">
        <v>2914</v>
      </c>
      <c r="G404" t="s" s="1">
        <v>2914</v>
      </c>
      <c r="H404" t="s" s="1">
        <v>1173</v>
      </c>
      <c r="I404" t="s" s="1">
        <v>2178</v>
      </c>
      <c r="J404" t="s" s="1">
        <v>3091</v>
      </c>
      <c r="K404" t="s" s="1">
        <v>654</v>
      </c>
      <c r="L404" t="s" s="1">
        <v>1512</v>
      </c>
      <c r="M404" t="n" s="5">
        <v>900.0</v>
      </c>
      <c r="N404" t="n" s="7">
        <v>44482.0</v>
      </c>
      <c r="O404" t="n" s="7">
        <v>44561.0</v>
      </c>
      <c r="P404" t="s" s="1">
        <v>3384</v>
      </c>
    </row>
    <row r="405" spans="1:16">
      <c r="A405" t="n" s="4">
        <v>401</v>
      </c>
      <c r="B405" s="2">
        <f>HYPERLINK("https://my.zakupki.prom.ua/remote/dispatcher/state_purchase_view/22940317", "UA-2021-01-13-004133-a")</f>
        <v/>
      </c>
      <c r="C405" t="s" s="2">
        <v>3102</v>
      </c>
      <c r="D405" s="2">
        <f>HYPERLINK("https://my.zakupki.prom.ua/remote/dispatcher/state_contracting_view/7216879", "UA-2021-01-13-004133-a-a1")</f>
        <v/>
      </c>
      <c r="E405" t="s" s="1">
        <v>2011</v>
      </c>
      <c r="F405" t="s" s="1">
        <v>2564</v>
      </c>
      <c r="G405" t="s" s="1">
        <v>3497</v>
      </c>
      <c r="H405" t="s" s="1">
        <v>763</v>
      </c>
      <c r="I405" t="s" s="1">
        <v>2178</v>
      </c>
      <c r="J405" t="s" s="1">
        <v>3277</v>
      </c>
      <c r="K405" t="s" s="1">
        <v>519</v>
      </c>
      <c r="L405" t="s" s="1">
        <v>811</v>
      </c>
      <c r="M405" t="n" s="5">
        <v>10674.85</v>
      </c>
      <c r="N405" t="n" s="7">
        <v>44209.0</v>
      </c>
      <c r="O405" t="n" s="7">
        <v>44561.0</v>
      </c>
      <c r="P405" t="s" s="1">
        <v>3384</v>
      </c>
    </row>
    <row r="406" spans="1:16">
      <c r="A406" t="n" s="4">
        <v>402</v>
      </c>
      <c r="B406" s="2">
        <f>HYPERLINK("https://my.zakupki.prom.ua/remote/dispatcher/state_purchase_view/32227257", "UA-2021-11-25-008882-a")</f>
        <v/>
      </c>
      <c r="C406" t="s" s="2">
        <v>3102</v>
      </c>
      <c r="D406" s="2">
        <f>HYPERLINK("https://my.zakupki.prom.ua/remote/dispatcher/state_contracting_view/12255928", "UA-2021-11-25-008882-a-c1")</f>
        <v/>
      </c>
      <c r="E406" t="s" s="1">
        <v>956</v>
      </c>
      <c r="F406" t="s" s="1">
        <v>3038</v>
      </c>
      <c r="G406" t="s" s="1">
        <v>3038</v>
      </c>
      <c r="H406" t="s" s="1">
        <v>761</v>
      </c>
      <c r="I406" t="s" s="1">
        <v>2142</v>
      </c>
      <c r="J406" t="s" s="1">
        <v>3330</v>
      </c>
      <c r="K406" t="s" s="1">
        <v>682</v>
      </c>
      <c r="L406" t="s" s="1">
        <v>1665</v>
      </c>
      <c r="M406" t="n" s="5">
        <v>379800.0</v>
      </c>
      <c r="N406" t="n" s="7">
        <v>44558.0</v>
      </c>
      <c r="O406" t="n" s="7">
        <v>44561.0</v>
      </c>
      <c r="P406" t="s" s="1">
        <v>3384</v>
      </c>
    </row>
    <row r="407" spans="1:16">
      <c r="A407" t="n" s="4">
        <v>403</v>
      </c>
      <c r="B407" s="2">
        <f>HYPERLINK("https://my.zakupki.prom.ua/remote/dispatcher/state_purchase_view/32917084", "UA-2021-12-10-010887-c")</f>
        <v/>
      </c>
      <c r="C407" t="s" s="2">
        <v>3102</v>
      </c>
      <c r="D407" s="2">
        <f>HYPERLINK("https://my.zakupki.prom.ua/remote/dispatcher/state_contracting_view/11845120", "UA-2021-12-10-010887-c-c1")</f>
        <v/>
      </c>
      <c r="E407" t="s" s="1">
        <v>2035</v>
      </c>
      <c r="F407" t="s" s="1">
        <v>2218</v>
      </c>
      <c r="G407" t="s" s="1">
        <v>2218</v>
      </c>
      <c r="H407" t="s" s="1">
        <v>929</v>
      </c>
      <c r="I407" t="s" s="1">
        <v>2178</v>
      </c>
      <c r="J407" t="s" s="1">
        <v>3242</v>
      </c>
      <c r="K407" t="s" s="1">
        <v>996</v>
      </c>
      <c r="L407" t="s" s="1">
        <v>3063</v>
      </c>
      <c r="M407" t="n" s="5">
        <v>9000.0</v>
      </c>
      <c r="N407" t="n" s="7">
        <v>44540.0</v>
      </c>
      <c r="O407" t="n" s="7">
        <v>44561.0</v>
      </c>
      <c r="P407" t="s" s="1">
        <v>3384</v>
      </c>
    </row>
    <row r="408" spans="1:16">
      <c r="A408" t="n" s="4">
        <v>404</v>
      </c>
      <c r="B408" s="2">
        <f>HYPERLINK("https://my.zakupki.prom.ua/remote/dispatcher/state_purchase_view/25058217", "UA-2021-03-19-000421-b")</f>
        <v/>
      </c>
      <c r="C408" t="s" s="2">
        <v>3102</v>
      </c>
      <c r="D408" s="2">
        <f>HYPERLINK("https://my.zakupki.prom.ua/remote/dispatcher/state_contracting_view/8164745", "UA-2021-03-19-000421-b-b1")</f>
        <v/>
      </c>
      <c r="E408" t="s" s="1">
        <v>388</v>
      </c>
      <c r="F408" t="s" s="1">
        <v>2407</v>
      </c>
      <c r="G408" t="s" s="1">
        <v>3402</v>
      </c>
      <c r="H408" t="s" s="1">
        <v>656</v>
      </c>
      <c r="I408" t="s" s="1">
        <v>2178</v>
      </c>
      <c r="J408" t="s" s="1">
        <v>3268</v>
      </c>
      <c r="K408" t="s" s="1">
        <v>984</v>
      </c>
      <c r="L408" t="s" s="1">
        <v>409</v>
      </c>
      <c r="M408" t="n" s="5">
        <v>2810.0</v>
      </c>
      <c r="N408" t="n" s="7">
        <v>44274.0</v>
      </c>
      <c r="O408" t="n" s="7">
        <v>44561.0</v>
      </c>
      <c r="P408" t="s" s="1">
        <v>3384</v>
      </c>
    </row>
    <row r="409" spans="1:16">
      <c r="A409" t="n" s="4">
        <v>405</v>
      </c>
      <c r="B409" s="2">
        <f>HYPERLINK("https://my.zakupki.prom.ua/remote/dispatcher/state_purchase_view/25564409", "UA-2021-04-06-002078-b")</f>
        <v/>
      </c>
      <c r="C409" t="s" s="2">
        <v>3102</v>
      </c>
      <c r="D409" s="2">
        <f>HYPERLINK("https://my.zakupki.prom.ua/remote/dispatcher/state_contracting_view/8409228", "UA-2021-04-06-002078-b-b1")</f>
        <v/>
      </c>
      <c r="E409" t="s" s="1">
        <v>1679</v>
      </c>
      <c r="F409" t="s" s="1">
        <v>2519</v>
      </c>
      <c r="G409" t="s" s="1">
        <v>2519</v>
      </c>
      <c r="H409" t="s" s="1">
        <v>759</v>
      </c>
      <c r="I409" t="s" s="1">
        <v>2178</v>
      </c>
      <c r="J409" t="s" s="1">
        <v>3277</v>
      </c>
      <c r="K409" t="s" s="1">
        <v>519</v>
      </c>
      <c r="L409" t="s" s="1">
        <v>828</v>
      </c>
      <c r="M409" t="n" s="5">
        <v>730.0</v>
      </c>
      <c r="N409" t="n" s="7">
        <v>44292.0</v>
      </c>
      <c r="O409" t="n" s="7">
        <v>44561.0</v>
      </c>
      <c r="P409" t="s" s="1">
        <v>3384</v>
      </c>
    </row>
    <row r="410" spans="1:16">
      <c r="A410" t="n" s="4">
        <v>406</v>
      </c>
      <c r="B410" s="2">
        <f>HYPERLINK("https://my.zakupki.prom.ua/remote/dispatcher/state_purchase_view/26302563", "UA-2021-05-05-001095-c")</f>
        <v/>
      </c>
      <c r="C410" t="s" s="2">
        <v>3102</v>
      </c>
      <c r="D410" s="2">
        <f>HYPERLINK("https://my.zakupki.prom.ua/remote/dispatcher/state_contracting_view/8774404", "UA-2021-05-05-001095-c-c1")</f>
        <v/>
      </c>
      <c r="E410" t="s" s="1">
        <v>1888</v>
      </c>
      <c r="F410" t="s" s="1">
        <v>2743</v>
      </c>
      <c r="G410" t="s" s="1">
        <v>2743</v>
      </c>
      <c r="H410" t="s" s="1">
        <v>893</v>
      </c>
      <c r="I410" t="s" s="1">
        <v>2178</v>
      </c>
      <c r="J410" t="s" s="1">
        <v>3286</v>
      </c>
      <c r="K410" t="s" s="1">
        <v>820</v>
      </c>
      <c r="L410" t="s" s="1">
        <v>1111</v>
      </c>
      <c r="M410" t="n" s="5">
        <v>960.0</v>
      </c>
      <c r="N410" t="n" s="7">
        <v>44321.0</v>
      </c>
      <c r="O410" t="n" s="7">
        <v>44561.0</v>
      </c>
      <c r="P410" t="s" s="1">
        <v>3384</v>
      </c>
    </row>
    <row r="411" spans="1:16">
      <c r="A411" t="n" s="4">
        <v>407</v>
      </c>
      <c r="B411" s="2">
        <f>HYPERLINK("https://my.zakupki.prom.ua/remote/dispatcher/state_purchase_view/25632153", "UA-2021-04-08-001353-b")</f>
        <v/>
      </c>
      <c r="C411" t="s" s="2">
        <v>3102</v>
      </c>
      <c r="D411" s="2">
        <f>HYPERLINK("https://my.zakupki.prom.ua/remote/dispatcher/state_contracting_view/8442928", "UA-2021-04-08-001353-b-b1")</f>
        <v/>
      </c>
      <c r="E411" t="s" s="1">
        <v>391</v>
      </c>
      <c r="F411" t="s" s="1">
        <v>2323</v>
      </c>
      <c r="G411" t="s" s="1">
        <v>2323</v>
      </c>
      <c r="H411" t="s" s="1">
        <v>346</v>
      </c>
      <c r="I411" t="s" s="1">
        <v>2178</v>
      </c>
      <c r="J411" t="s" s="1">
        <v>3112</v>
      </c>
      <c r="K411" t="s" s="1">
        <v>802</v>
      </c>
      <c r="L411" t="s" s="1">
        <v>146</v>
      </c>
      <c r="M411" t="n" s="5">
        <v>1442.05</v>
      </c>
      <c r="N411" t="n" s="7">
        <v>44294.0</v>
      </c>
      <c r="O411" t="n" s="7">
        <v>44561.0</v>
      </c>
      <c r="P411" t="s" s="1">
        <v>3384</v>
      </c>
    </row>
    <row r="412" spans="1:16">
      <c r="A412" t="n" s="4">
        <v>408</v>
      </c>
      <c r="B412" s="2">
        <f>HYPERLINK("https://my.zakupki.prom.ua/remote/dispatcher/state_purchase_view/25522593", "UA-2021-04-05-003383-a")</f>
        <v/>
      </c>
      <c r="C412" t="s" s="2">
        <v>3102</v>
      </c>
      <c r="D412" s="2">
        <f>HYPERLINK("https://my.zakupki.prom.ua/remote/dispatcher/state_contracting_view/8386262", "UA-2021-04-05-003383-a-a1")</f>
        <v/>
      </c>
      <c r="E412" t="s" s="1">
        <v>1355</v>
      </c>
      <c r="F412" t="s" s="1">
        <v>2881</v>
      </c>
      <c r="G412" t="s" s="1">
        <v>2173</v>
      </c>
      <c r="H412" t="s" s="1">
        <v>1083</v>
      </c>
      <c r="I412" t="s" s="1">
        <v>2178</v>
      </c>
      <c r="J412" t="s" s="1">
        <v>2141</v>
      </c>
      <c r="K412" t="s" s="1">
        <v>438</v>
      </c>
      <c r="L412" t="s" s="1">
        <v>755</v>
      </c>
      <c r="M412" t="n" s="5">
        <v>5649.0</v>
      </c>
      <c r="N412" t="n" s="7">
        <v>44291.0</v>
      </c>
      <c r="O412" t="n" s="7">
        <v>44561.0</v>
      </c>
      <c r="P412" t="s" s="1">
        <v>3384</v>
      </c>
    </row>
    <row r="413" spans="1:16">
      <c r="A413" t="n" s="4">
        <v>409</v>
      </c>
      <c r="B413" s="2">
        <f>HYPERLINK("https://my.zakupki.prom.ua/remote/dispatcher/state_purchase_view/26236662", "UA-2021-04-28-005386-a")</f>
        <v/>
      </c>
      <c r="C413" t="s" s="2">
        <v>3102</v>
      </c>
      <c r="D413" s="2">
        <f>HYPERLINK("https://my.zakupki.prom.ua/remote/dispatcher/state_contracting_view/8733810", "UA-2021-04-28-005386-a-a1")</f>
        <v/>
      </c>
      <c r="E413" t="s" s="1">
        <v>1176</v>
      </c>
      <c r="F413" t="s" s="1">
        <v>2301</v>
      </c>
      <c r="G413" t="s" s="1">
        <v>2301</v>
      </c>
      <c r="H413" t="s" s="1">
        <v>276</v>
      </c>
      <c r="I413" t="s" s="1">
        <v>2178</v>
      </c>
      <c r="J413" t="s" s="1">
        <v>3356</v>
      </c>
      <c r="K413" t="s" s="1">
        <v>814</v>
      </c>
      <c r="L413" t="s" s="1">
        <v>1093</v>
      </c>
      <c r="M413" t="n" s="5">
        <v>5200.0</v>
      </c>
      <c r="N413" t="n" s="7">
        <v>44314.0</v>
      </c>
      <c r="O413" t="n" s="7">
        <v>44561.0</v>
      </c>
      <c r="P413" t="s" s="1">
        <v>3384</v>
      </c>
    </row>
    <row r="414" spans="1:16">
      <c r="A414" t="n" s="4">
        <v>410</v>
      </c>
      <c r="B414" s="2">
        <f>HYPERLINK("https://my.zakupki.prom.ua/remote/dispatcher/state_purchase_view/26184770", "UA-2021-04-27-004514-a")</f>
        <v/>
      </c>
      <c r="C414" t="s" s="2">
        <v>3102</v>
      </c>
      <c r="D414" s="2">
        <f>HYPERLINK("https://my.zakupki.prom.ua/remote/dispatcher/state_contracting_view/8703519", "UA-2021-04-27-004514-a-a1")</f>
        <v/>
      </c>
      <c r="E414" t="s" s="1">
        <v>1177</v>
      </c>
      <c r="F414" t="s" s="1">
        <v>2559</v>
      </c>
      <c r="G414" t="s" s="1">
        <v>3412</v>
      </c>
      <c r="H414" t="s" s="1">
        <v>763</v>
      </c>
      <c r="I414" t="s" s="1">
        <v>2178</v>
      </c>
      <c r="J414" t="s" s="1">
        <v>3159</v>
      </c>
      <c r="K414" t="s" s="1">
        <v>799</v>
      </c>
      <c r="L414" t="s" s="1">
        <v>1082</v>
      </c>
      <c r="M414" t="n" s="5">
        <v>242800.0</v>
      </c>
      <c r="N414" t="n" s="7">
        <v>44313.0</v>
      </c>
      <c r="O414" t="n" s="7">
        <v>44561.0</v>
      </c>
      <c r="P414" t="s" s="1">
        <v>3384</v>
      </c>
    </row>
    <row r="415" spans="1:16">
      <c r="A415" t="n" s="4">
        <v>411</v>
      </c>
      <c r="B415" s="2">
        <f>HYPERLINK("https://my.zakupki.prom.ua/remote/dispatcher/state_purchase_view/25518186", "UA-2021-04-05-002106-a")</f>
        <v/>
      </c>
      <c r="C415" t="s" s="2">
        <v>3102</v>
      </c>
      <c r="D415" s="2">
        <f>HYPERLINK("https://my.zakupki.prom.ua/remote/dispatcher/state_contracting_view/8383778", "UA-2021-04-05-002106-a-a1")</f>
        <v/>
      </c>
      <c r="E415" t="s" s="1">
        <v>2010</v>
      </c>
      <c r="F415" t="s" s="1">
        <v>2763</v>
      </c>
      <c r="G415" t="s" s="1">
        <v>2763</v>
      </c>
      <c r="H415" t="s" s="1">
        <v>915</v>
      </c>
      <c r="I415" t="s" s="1">
        <v>2178</v>
      </c>
      <c r="J415" t="s" s="1">
        <v>3356</v>
      </c>
      <c r="K415" t="s" s="1">
        <v>814</v>
      </c>
      <c r="L415" t="s" s="1">
        <v>742</v>
      </c>
      <c r="M415" t="n" s="5">
        <v>360.0</v>
      </c>
      <c r="N415" t="n" s="7">
        <v>44291.0</v>
      </c>
      <c r="O415" t="n" s="7">
        <v>44561.0</v>
      </c>
      <c r="P415" t="s" s="1">
        <v>3384</v>
      </c>
    </row>
    <row r="416" spans="1:16">
      <c r="A416" t="n" s="4">
        <v>412</v>
      </c>
      <c r="B416" s="2">
        <f>HYPERLINK("https://my.zakupki.prom.ua/remote/dispatcher/state_purchase_view/26048760", "UA-2021-04-22-001055-a")</f>
        <v/>
      </c>
      <c r="C416" t="s" s="2">
        <v>3102</v>
      </c>
      <c r="D416" s="2">
        <f>HYPERLINK("https://my.zakupki.prom.ua/remote/dispatcher/state_contracting_view/8648870", "UA-2021-04-22-001055-a-a1")</f>
        <v/>
      </c>
      <c r="E416" t="s" s="1">
        <v>1744</v>
      </c>
      <c r="F416" t="s" s="1">
        <v>2251</v>
      </c>
      <c r="G416" t="s" s="1">
        <v>2251</v>
      </c>
      <c r="H416" t="s" s="1">
        <v>246</v>
      </c>
      <c r="I416" t="s" s="1">
        <v>2178</v>
      </c>
      <c r="J416" t="s" s="1">
        <v>3356</v>
      </c>
      <c r="K416" t="s" s="1">
        <v>814</v>
      </c>
      <c r="L416" t="s" s="1">
        <v>1021</v>
      </c>
      <c r="M416" t="n" s="5">
        <v>16065.0</v>
      </c>
      <c r="N416" t="n" s="7">
        <v>44306.0</v>
      </c>
      <c r="O416" t="n" s="7">
        <v>44561.0</v>
      </c>
      <c r="P416" t="s" s="1">
        <v>3384</v>
      </c>
    </row>
    <row r="417" spans="1:16">
      <c r="A417" t="n" s="4">
        <v>413</v>
      </c>
      <c r="B417" s="2">
        <f>HYPERLINK("https://my.zakupki.prom.ua/remote/dispatcher/state_purchase_view/25633006", "UA-2021-04-08-001596-b")</f>
        <v/>
      </c>
      <c r="C417" t="s" s="2">
        <v>3102</v>
      </c>
      <c r="D417" s="2">
        <f>HYPERLINK("https://my.zakupki.prom.ua/remote/dispatcher/state_contracting_view/8443340", "UA-2021-04-08-001596-b-b1")</f>
        <v/>
      </c>
      <c r="E417" t="s" s="1">
        <v>553</v>
      </c>
      <c r="F417" t="s" s="1">
        <v>2825</v>
      </c>
      <c r="G417" t="s" s="1">
        <v>2825</v>
      </c>
      <c r="H417" t="s" s="1">
        <v>1061</v>
      </c>
      <c r="I417" t="s" s="1">
        <v>2178</v>
      </c>
      <c r="J417" t="s" s="1">
        <v>3112</v>
      </c>
      <c r="K417" t="s" s="1">
        <v>802</v>
      </c>
      <c r="L417" t="s" s="1">
        <v>163</v>
      </c>
      <c r="M417" t="n" s="5">
        <v>1603.95</v>
      </c>
      <c r="N417" t="n" s="7">
        <v>44294.0</v>
      </c>
      <c r="O417" t="n" s="7">
        <v>44561.0</v>
      </c>
      <c r="P417" t="s" s="1">
        <v>3384</v>
      </c>
    </row>
    <row r="418" spans="1:16">
      <c r="A418" t="n" s="4">
        <v>414</v>
      </c>
      <c r="B418" s="2">
        <f>HYPERLINK("https://my.zakupki.prom.ua/remote/dispatcher/state_purchase_view/27736391", "UA-2021-06-24-003880-c")</f>
        <v/>
      </c>
      <c r="C418" t="s" s="2">
        <v>3102</v>
      </c>
      <c r="D418" s="2">
        <f>HYPERLINK("https://my.zakupki.prom.ua/remote/dispatcher/state_contracting_view/9440777", "UA-2021-06-24-003880-c-c1")</f>
        <v/>
      </c>
      <c r="E418" t="s" s="1">
        <v>364</v>
      </c>
      <c r="F418" t="s" s="1">
        <v>2400</v>
      </c>
      <c r="G418" t="s" s="1">
        <v>2400</v>
      </c>
      <c r="H418" t="s" s="1">
        <v>550</v>
      </c>
      <c r="I418" t="s" s="1">
        <v>2178</v>
      </c>
      <c r="J418" t="s" s="1">
        <v>2146</v>
      </c>
      <c r="K418" t="s" s="1">
        <v>616</v>
      </c>
      <c r="L418" t="s" s="1">
        <v>1275</v>
      </c>
      <c r="M418" t="n" s="5">
        <v>600.0</v>
      </c>
      <c r="N418" t="n" s="7">
        <v>44371.0</v>
      </c>
      <c r="O418" t="n" s="7">
        <v>44561.0</v>
      </c>
      <c r="P418" t="s" s="1">
        <v>3384</v>
      </c>
    </row>
    <row r="419" spans="1:16">
      <c r="A419" t="n" s="4">
        <v>415</v>
      </c>
      <c r="B419" s="2">
        <f>HYPERLINK("https://my.zakupki.prom.ua/remote/dispatcher/state_purchase_view/31620957", "UA-2021-11-10-005934-a")</f>
        <v/>
      </c>
      <c r="C419" t="s" s="2">
        <v>3102</v>
      </c>
      <c r="D419" s="2">
        <f>HYPERLINK("https://my.zakupki.prom.ua/remote/dispatcher/state_contracting_view/11245056", "UA-2021-11-10-005934-a-a1")</f>
        <v/>
      </c>
      <c r="E419" t="s" s="1">
        <v>381</v>
      </c>
      <c r="F419" t="s" s="1">
        <v>2728</v>
      </c>
      <c r="G419" t="s" s="1">
        <v>2728</v>
      </c>
      <c r="H419" t="s" s="1">
        <v>796</v>
      </c>
      <c r="I419" t="s" s="1">
        <v>2178</v>
      </c>
      <c r="J419" t="s" s="1">
        <v>2140</v>
      </c>
      <c r="K419" t="s" s="1">
        <v>490</v>
      </c>
      <c r="L419" t="s" s="1">
        <v>1571</v>
      </c>
      <c r="M419" t="n" s="5">
        <v>6500.0</v>
      </c>
      <c r="N419" t="n" s="7">
        <v>44510.0</v>
      </c>
      <c r="O419" t="n" s="7">
        <v>44561.0</v>
      </c>
      <c r="P419" t="s" s="1">
        <v>3384</v>
      </c>
    </row>
    <row r="420" spans="1:16">
      <c r="A420" t="n" s="4">
        <v>416</v>
      </c>
      <c r="B420" s="2">
        <f>HYPERLINK("https://my.zakupki.prom.ua/remote/dispatcher/state_purchase_view/33781255", "UA-2021-12-28-006430-c")</f>
        <v/>
      </c>
      <c r="C420" t="s" s="2">
        <v>3102</v>
      </c>
      <c r="D420" s="2">
        <f>HYPERLINK("https://my.zakupki.prom.ua/remote/dispatcher/state_contracting_view/12288974", "UA-2021-12-28-006430-c-c1")</f>
        <v/>
      </c>
      <c r="E420" t="s" s="1">
        <v>207</v>
      </c>
      <c r="F420" t="s" s="1">
        <v>2342</v>
      </c>
      <c r="G420" t="s" s="1">
        <v>3095</v>
      </c>
      <c r="H420" t="s" s="1">
        <v>378</v>
      </c>
      <c r="I420" t="s" s="1">
        <v>2178</v>
      </c>
      <c r="J420" t="s" s="1">
        <v>3356</v>
      </c>
      <c r="K420" t="s" s="1">
        <v>814</v>
      </c>
      <c r="L420" t="s" s="1">
        <v>1666</v>
      </c>
      <c r="M420" t="n" s="5">
        <v>3693.0</v>
      </c>
      <c r="N420" t="n" s="7">
        <v>44558.0</v>
      </c>
      <c r="O420" t="n" s="7">
        <v>44561.0</v>
      </c>
      <c r="P420" t="s" s="1">
        <v>3384</v>
      </c>
    </row>
    <row r="421" spans="1:16">
      <c r="A421" t="n" s="4">
        <v>417</v>
      </c>
      <c r="B421" s="2">
        <f>HYPERLINK("https://my.zakupki.prom.ua/remote/dispatcher/state_purchase_view/31423410", "UA-2021-11-04-005389-a")</f>
        <v/>
      </c>
      <c r="C421" t="s" s="2">
        <v>3102</v>
      </c>
      <c r="D421" s="2">
        <f>HYPERLINK("https://my.zakupki.prom.ua/remote/dispatcher/state_contracting_view/11449616", "UA-2021-11-04-005389-a-a1")</f>
        <v/>
      </c>
      <c r="E421" t="s" s="1">
        <v>1924</v>
      </c>
      <c r="F421" t="s" s="1">
        <v>2</v>
      </c>
      <c r="G421" t="s" s="1">
        <v>2199</v>
      </c>
      <c r="H421" t="s" s="1">
        <v>758</v>
      </c>
      <c r="I421" t="s" s="1">
        <v>3171</v>
      </c>
      <c r="J421" t="s" s="1">
        <v>3328</v>
      </c>
      <c r="K421" t="s" s="1">
        <v>804</v>
      </c>
      <c r="L421" t="s" s="1">
        <v>1607</v>
      </c>
      <c r="M421" t="n" s="5">
        <v>360000.0</v>
      </c>
      <c r="N421" t="n" s="7">
        <v>44522.0</v>
      </c>
      <c r="O421" t="n" s="7">
        <v>44561.0</v>
      </c>
      <c r="P421" t="s" s="1">
        <v>3384</v>
      </c>
    </row>
    <row r="422" spans="1:16">
      <c r="A422" t="n" s="4">
        <v>418</v>
      </c>
      <c r="B422" s="2">
        <f>HYPERLINK("https://my.zakupki.prom.ua/remote/dispatcher/state_purchase_view/31412845", "UA-2021-11-04-001662-a")</f>
        <v/>
      </c>
      <c r="C422" t="s" s="2">
        <v>3102</v>
      </c>
      <c r="D422" s="2">
        <f>HYPERLINK("https://my.zakupki.prom.ua/remote/dispatcher/state_contracting_view/11516712", "UA-2021-11-04-001662-a-a1")</f>
        <v/>
      </c>
      <c r="E422" t="s" s="1">
        <v>944</v>
      </c>
      <c r="F422" t="s" s="1">
        <v>0</v>
      </c>
      <c r="G422" t="s" s="1">
        <v>3355</v>
      </c>
      <c r="H422" t="s" s="1">
        <v>759</v>
      </c>
      <c r="I422" t="s" s="1">
        <v>3171</v>
      </c>
      <c r="J422" t="s" s="1">
        <v>3331</v>
      </c>
      <c r="K422" t="s" s="1">
        <v>493</v>
      </c>
      <c r="L422" t="s" s="1">
        <v>1613</v>
      </c>
      <c r="M422" t="n" s="5">
        <v>497457.2</v>
      </c>
      <c r="N422" t="n" s="7">
        <v>44525.0</v>
      </c>
      <c r="O422" t="n" s="7">
        <v>44561.0</v>
      </c>
      <c r="P422" t="s" s="1">
        <v>3384</v>
      </c>
    </row>
    <row r="423" spans="1:16">
      <c r="A423" t="n" s="4">
        <v>419</v>
      </c>
      <c r="B423" s="2">
        <f>HYPERLINK("https://my.zakupki.prom.ua/remote/dispatcher/state_purchase_view/30288665", "UA-2021-09-28-002110-b")</f>
        <v/>
      </c>
      <c r="C423" t="s" s="2">
        <v>3102</v>
      </c>
      <c r="D423" s="2">
        <f>HYPERLINK("https://my.zakupki.prom.ua/remote/dispatcher/state_contracting_view/10633640", "UA-2021-09-28-002110-b-b1")</f>
        <v/>
      </c>
      <c r="E423" t="s" s="1">
        <v>1778</v>
      </c>
      <c r="F423" t="s" s="1">
        <v>2852</v>
      </c>
      <c r="G423" t="s" s="1">
        <v>2852</v>
      </c>
      <c r="H423" t="s" s="1">
        <v>1075</v>
      </c>
      <c r="I423" t="s" s="1">
        <v>2178</v>
      </c>
      <c r="J423" t="s" s="1">
        <v>2141</v>
      </c>
      <c r="K423" t="s" s="1">
        <v>438</v>
      </c>
      <c r="L423" t="s" s="1">
        <v>1480</v>
      </c>
      <c r="M423" t="n" s="5">
        <v>171.0</v>
      </c>
      <c r="N423" t="n" s="7">
        <v>44467.0</v>
      </c>
      <c r="O423" t="n" s="7">
        <v>44561.0</v>
      </c>
      <c r="P423" t="s" s="1">
        <v>3384</v>
      </c>
    </row>
    <row r="424" spans="1:16">
      <c r="A424" t="n" s="4">
        <v>420</v>
      </c>
      <c r="B424" s="2">
        <f>HYPERLINK("https://my.zakupki.prom.ua/remote/dispatcher/state_purchase_view/30282829", "UA-2021-09-28-000422-b")</f>
        <v/>
      </c>
      <c r="C424" t="s" s="2">
        <v>3102</v>
      </c>
      <c r="D424" s="2">
        <f>HYPERLINK("https://my.zakupki.prom.ua/remote/dispatcher/state_contracting_view/10630748", "UA-2021-09-28-000422-b-b1")</f>
        <v/>
      </c>
      <c r="E424" t="s" s="1">
        <v>453</v>
      </c>
      <c r="F424" t="s" s="1">
        <v>2549</v>
      </c>
      <c r="G424" t="s" s="1">
        <v>2549</v>
      </c>
      <c r="H424" t="s" s="1">
        <v>762</v>
      </c>
      <c r="I424" t="s" s="1">
        <v>2178</v>
      </c>
      <c r="J424" t="s" s="1">
        <v>3118</v>
      </c>
      <c r="K424" t="s" s="1">
        <v>363</v>
      </c>
      <c r="L424" t="s" s="1">
        <v>3082</v>
      </c>
      <c r="M424" t="n" s="5">
        <v>15960.0</v>
      </c>
      <c r="N424" t="n" s="7">
        <v>44467.0</v>
      </c>
      <c r="O424" t="n" s="7">
        <v>44561.0</v>
      </c>
      <c r="P424" t="s" s="1">
        <v>3384</v>
      </c>
    </row>
    <row r="425" spans="1:16">
      <c r="A425" t="n" s="4">
        <v>421</v>
      </c>
      <c r="B425" s="2">
        <f>HYPERLINK("https://my.zakupki.prom.ua/remote/dispatcher/state_purchase_view/29473692", "UA-2021-09-02-003920-a")</f>
        <v/>
      </c>
      <c r="C425" t="s" s="2">
        <v>3102</v>
      </c>
      <c r="D425" s="2">
        <f>HYPERLINK("https://my.zakupki.prom.ua/remote/dispatcher/state_contracting_view/10257360", "UA-2021-09-02-003920-a-a1")</f>
        <v/>
      </c>
      <c r="E425" t="s" s="1">
        <v>1875</v>
      </c>
      <c r="F425" t="s" s="1">
        <v>2803</v>
      </c>
      <c r="G425" t="s" s="1">
        <v>2803</v>
      </c>
      <c r="H425" t="s" s="1">
        <v>1009</v>
      </c>
      <c r="I425" t="s" s="1">
        <v>2178</v>
      </c>
      <c r="J425" t="s" s="1">
        <v>3117</v>
      </c>
      <c r="K425" t="s" s="1">
        <v>495</v>
      </c>
      <c r="L425" t="s" s="1">
        <v>1396</v>
      </c>
      <c r="M425" t="n" s="5">
        <v>21758.0</v>
      </c>
      <c r="N425" t="n" s="7">
        <v>44441.0</v>
      </c>
      <c r="O425" t="n" s="7">
        <v>44561.0</v>
      </c>
      <c r="P425" t="s" s="1">
        <v>3384</v>
      </c>
    </row>
    <row r="426" spans="1:16">
      <c r="A426" t="n" s="4">
        <v>422</v>
      </c>
      <c r="B426" s="2">
        <f>HYPERLINK("https://my.zakupki.prom.ua/remote/dispatcher/state_purchase_view/27777655", "UA-2021-06-25-003685-c")</f>
        <v/>
      </c>
      <c r="C426" t="s" s="2">
        <v>3102</v>
      </c>
      <c r="D426" s="2">
        <f>HYPERLINK("https://my.zakupki.prom.ua/remote/dispatcher/state_contracting_view/9464808", "UA-2021-06-25-003685-c-c1")</f>
        <v/>
      </c>
      <c r="E426" t="s" s="1">
        <v>1102</v>
      </c>
      <c r="F426" t="s" s="1">
        <v>2245</v>
      </c>
      <c r="G426" t="s" s="1">
        <v>2245</v>
      </c>
      <c r="H426" t="s" s="1">
        <v>232</v>
      </c>
      <c r="I426" t="s" s="1">
        <v>2178</v>
      </c>
      <c r="J426" t="s" s="1">
        <v>3112</v>
      </c>
      <c r="K426" t="s" s="1">
        <v>802</v>
      </c>
      <c r="L426" t="s" s="1">
        <v>422</v>
      </c>
      <c r="M426" t="n" s="5">
        <v>170.25</v>
      </c>
      <c r="N426" t="n" s="7">
        <v>44372.0</v>
      </c>
      <c r="O426" t="n" s="7">
        <v>44561.0</v>
      </c>
      <c r="P426" t="s" s="1">
        <v>3384</v>
      </c>
    </row>
    <row r="427" spans="1:16">
      <c r="A427" t="n" s="4">
        <v>423</v>
      </c>
      <c r="B427" s="2">
        <f>HYPERLINK("https://my.zakupki.prom.ua/remote/dispatcher/state_purchase_view/31919769", "UA-2021-11-18-000547-a")</f>
        <v/>
      </c>
      <c r="C427" t="s" s="2">
        <v>3102</v>
      </c>
      <c r="D427" s="2">
        <f>HYPERLINK("https://my.zakupki.prom.ua/remote/dispatcher/state_contracting_view/11382795", "UA-2021-11-18-000547-a-a1")</f>
        <v/>
      </c>
      <c r="E427" t="s" s="1">
        <v>1495</v>
      </c>
      <c r="F427" t="s" s="1">
        <v>2402</v>
      </c>
      <c r="G427" t="s" s="1">
        <v>2402</v>
      </c>
      <c r="H427" t="s" s="1">
        <v>550</v>
      </c>
      <c r="I427" t="s" s="1">
        <v>2178</v>
      </c>
      <c r="J427" t="s" s="1">
        <v>3132</v>
      </c>
      <c r="K427" t="s" s="1">
        <v>658</v>
      </c>
      <c r="L427" t="s" s="1">
        <v>1089</v>
      </c>
      <c r="M427" t="n" s="5">
        <v>684.2</v>
      </c>
      <c r="N427" t="n" s="7">
        <v>44517.0</v>
      </c>
      <c r="O427" t="n" s="7">
        <v>44561.0</v>
      </c>
      <c r="P427" t="s" s="1">
        <v>3384</v>
      </c>
    </row>
    <row r="428" spans="1:16">
      <c r="A428" t="n" s="4">
        <v>424</v>
      </c>
      <c r="B428" s="2">
        <f>HYPERLINK("https://my.zakupki.prom.ua/remote/dispatcher/state_purchase_view/31886150", "UA-2021-11-17-006553-a")</f>
        <v/>
      </c>
      <c r="C428" t="s" s="2">
        <v>3102</v>
      </c>
      <c r="D428" s="2">
        <f>HYPERLINK("https://my.zakupki.prom.ua/remote/dispatcher/state_contracting_view/11368000", "UA-2021-11-17-006553-a-a1")</f>
        <v/>
      </c>
      <c r="E428" t="s" s="1">
        <v>2019</v>
      </c>
      <c r="F428" t="s" s="1">
        <v>2331</v>
      </c>
      <c r="G428" t="s" s="1">
        <v>2331</v>
      </c>
      <c r="H428" t="s" s="1">
        <v>362</v>
      </c>
      <c r="I428" t="s" s="1">
        <v>2178</v>
      </c>
      <c r="J428" t="s" s="1">
        <v>2141</v>
      </c>
      <c r="K428" t="s" s="1">
        <v>438</v>
      </c>
      <c r="L428" t="s" s="1">
        <v>1590</v>
      </c>
      <c r="M428" t="n" s="5">
        <v>150.0</v>
      </c>
      <c r="N428" t="n" s="7">
        <v>44517.0</v>
      </c>
      <c r="O428" t="n" s="7">
        <v>44561.0</v>
      </c>
      <c r="P428" t="s" s="1">
        <v>3384</v>
      </c>
    </row>
    <row r="429" spans="1:16">
      <c r="A429" t="n" s="4">
        <v>425</v>
      </c>
      <c r="B429" s="2">
        <f>HYPERLINK("https://my.zakupki.prom.ua/remote/dispatcher/state_purchase_view/26336441", "UA-2021-05-06-002315-c")</f>
        <v/>
      </c>
      <c r="C429" t="s" s="2">
        <v>3102</v>
      </c>
      <c r="D429" s="2">
        <f>HYPERLINK("https://my.zakupki.prom.ua/remote/dispatcher/state_contracting_view/8777582", "UA-2021-05-06-002315-c-c1")</f>
        <v/>
      </c>
      <c r="E429" t="s" s="1">
        <v>1598</v>
      </c>
      <c r="F429" t="s" s="1">
        <v>2756</v>
      </c>
      <c r="G429" t="s" s="1">
        <v>2756</v>
      </c>
      <c r="H429" t="s" s="1">
        <v>914</v>
      </c>
      <c r="I429" t="s" s="1">
        <v>2178</v>
      </c>
      <c r="J429" t="s" s="1">
        <v>2141</v>
      </c>
      <c r="K429" t="s" s="1">
        <v>438</v>
      </c>
      <c r="L429" t="s" s="1">
        <v>1129</v>
      </c>
      <c r="M429" t="n" s="5">
        <v>188.0</v>
      </c>
      <c r="N429" t="n" s="7">
        <v>44322.0</v>
      </c>
      <c r="O429" t="n" s="7">
        <v>44561.0</v>
      </c>
      <c r="P429" t="s" s="1">
        <v>3384</v>
      </c>
    </row>
    <row r="430" spans="1:16">
      <c r="A430" t="n" s="4">
        <v>426</v>
      </c>
      <c r="B430" s="2">
        <f>HYPERLINK("https://my.zakupki.prom.ua/remote/dispatcher/state_purchase_view/26613388", "UA-2021-05-18-000510-b")</f>
        <v/>
      </c>
      <c r="C430" t="s" s="2">
        <v>3102</v>
      </c>
      <c r="D430" s="2">
        <f>HYPERLINK("https://my.zakupki.prom.ua/remote/dispatcher/state_contracting_view/8907938", "UA-2021-05-18-000510-b-b1")</f>
        <v/>
      </c>
      <c r="E430" t="s" s="1">
        <v>586</v>
      </c>
      <c r="F430" t="s" s="1">
        <v>2383</v>
      </c>
      <c r="G430" t="s" s="1">
        <v>3387</v>
      </c>
      <c r="H430" t="s" s="1">
        <v>536</v>
      </c>
      <c r="I430" t="s" s="1">
        <v>2178</v>
      </c>
      <c r="J430" t="s" s="1">
        <v>3306</v>
      </c>
      <c r="K430" t="s" s="1">
        <v>996</v>
      </c>
      <c r="L430" t="s" s="1">
        <v>3053</v>
      </c>
      <c r="M430" t="n" s="5">
        <v>9180.0</v>
      </c>
      <c r="N430" t="n" s="7">
        <v>44333.0</v>
      </c>
      <c r="O430" t="n" s="7">
        <v>44561.0</v>
      </c>
      <c r="P430" t="s" s="1">
        <v>3384</v>
      </c>
    </row>
    <row r="431" spans="1:16">
      <c r="A431" t="n" s="4">
        <v>427</v>
      </c>
      <c r="B431" s="2">
        <f>HYPERLINK("https://my.zakupki.prom.ua/remote/dispatcher/state_purchase_view/29045499", "UA-2021-08-16-004278-a")</f>
        <v/>
      </c>
      <c r="C431" t="s" s="2">
        <v>3102</v>
      </c>
      <c r="D431" s="2">
        <f>HYPERLINK("https://my.zakupki.prom.ua/remote/dispatcher/state_contracting_view/10190880", "UA-2021-08-16-004278-a-a1")</f>
        <v/>
      </c>
      <c r="E431" t="s" s="1">
        <v>1390</v>
      </c>
      <c r="F431" t="s" s="1">
        <v>2940</v>
      </c>
      <c r="G431" t="s" s="1">
        <v>2940</v>
      </c>
      <c r="H431" t="s" s="1">
        <v>1359</v>
      </c>
      <c r="I431" t="s" s="1">
        <v>3143</v>
      </c>
      <c r="J431" t="s" s="1">
        <v>3122</v>
      </c>
      <c r="K431" t="s" s="1">
        <v>8</v>
      </c>
      <c r="L431" t="s" s="1">
        <v>1374</v>
      </c>
      <c r="M431" t="n" s="5">
        <v>230000.0</v>
      </c>
      <c r="N431" t="n" s="7">
        <v>44434.0</v>
      </c>
      <c r="O431" t="n" s="7">
        <v>44561.0</v>
      </c>
      <c r="P431" t="s" s="1">
        <v>3384</v>
      </c>
    </row>
    <row r="432" spans="1:16">
      <c r="A432" t="n" s="4">
        <v>428</v>
      </c>
      <c r="B432" s="2">
        <f>HYPERLINK("https://my.zakupki.prom.ua/remote/dispatcher/state_purchase_view/29478061", "UA-2021-09-02-005218-a")</f>
        <v/>
      </c>
      <c r="C432" t="s" s="2">
        <v>3102</v>
      </c>
      <c r="D432" s="2">
        <f>HYPERLINK("https://my.zakupki.prom.ua/remote/dispatcher/state_contracting_view/10359443", "UA-2021-09-02-005218-a-a1")</f>
        <v/>
      </c>
      <c r="E432" t="s" s="1">
        <v>1714</v>
      </c>
      <c r="F432" t="s" s="1">
        <v>2238</v>
      </c>
      <c r="G432" t="s" s="1">
        <v>2238</v>
      </c>
      <c r="H432" t="s" s="1">
        <v>99</v>
      </c>
      <c r="I432" t="s" s="1">
        <v>3143</v>
      </c>
      <c r="J432" t="s" s="1">
        <v>3223</v>
      </c>
      <c r="K432" t="s" s="1">
        <v>1005</v>
      </c>
      <c r="L432" t="s" s="1">
        <v>1434</v>
      </c>
      <c r="M432" t="n" s="5">
        <v>520000.0</v>
      </c>
      <c r="N432" t="n" s="7">
        <v>44448.0</v>
      </c>
      <c r="O432" t="n" s="7">
        <v>44561.0</v>
      </c>
      <c r="P432" t="s" s="1">
        <v>3384</v>
      </c>
    </row>
    <row r="433" spans="1:16">
      <c r="A433" t="n" s="4">
        <v>429</v>
      </c>
      <c r="B433" s="2">
        <f>HYPERLINK("https://my.zakupki.prom.ua/remote/dispatcher/state_purchase_view/31535682", "UA-2021-11-08-010994-b")</f>
        <v/>
      </c>
      <c r="C433" t="s" s="2">
        <v>3102</v>
      </c>
      <c r="D433" s="2">
        <f>HYPERLINK("https://my.zakupki.prom.ua/remote/dispatcher/state_contracting_view/11410159", "UA-2021-11-08-010994-b-b1")</f>
        <v/>
      </c>
      <c r="E433" t="s" s="1">
        <v>1737</v>
      </c>
      <c r="F433" t="s" s="1">
        <v>2937</v>
      </c>
      <c r="G433" t="s" s="1">
        <v>2937</v>
      </c>
      <c r="H433" t="s" s="1">
        <v>1356</v>
      </c>
      <c r="I433" t="s" s="1">
        <v>3142</v>
      </c>
      <c r="J433" t="s" s="1">
        <v>2187</v>
      </c>
      <c r="K433" t="s" s="1">
        <v>52</v>
      </c>
      <c r="L433" t="s" s="1">
        <v>670</v>
      </c>
      <c r="M433" t="n" s="5">
        <v>57766.12</v>
      </c>
      <c r="N433" t="n" s="7">
        <v>44519.0</v>
      </c>
      <c r="O433" t="n" s="7">
        <v>44561.0</v>
      </c>
      <c r="P433" t="s" s="1">
        <v>3384</v>
      </c>
    </row>
    <row r="434" spans="1:16">
      <c r="A434" t="n" s="4">
        <v>430</v>
      </c>
      <c r="B434" s="2">
        <f>HYPERLINK("https://my.zakupki.prom.ua/remote/dispatcher/state_purchase_view/31289247", "UA-2021-11-01-006597-a")</f>
        <v/>
      </c>
      <c r="C434" t="s" s="2">
        <v>3102</v>
      </c>
      <c r="D434" s="2">
        <f>HYPERLINK("https://my.zakupki.prom.ua/remote/dispatcher/state_contracting_view/11592120", "UA-2021-11-01-006597-a-a1")</f>
        <v/>
      </c>
      <c r="E434" t="s" s="1">
        <v>42</v>
      </c>
      <c r="F434" t="s" s="1">
        <v>2237</v>
      </c>
      <c r="G434" t="s" s="1">
        <v>2237</v>
      </c>
      <c r="H434" t="s" s="1">
        <v>99</v>
      </c>
      <c r="I434" t="s" s="1">
        <v>2142</v>
      </c>
      <c r="J434" t="s" s="1">
        <v>3283</v>
      </c>
      <c r="K434" t="s" s="1">
        <v>1005</v>
      </c>
      <c r="L434" t="s" s="1">
        <v>1620</v>
      </c>
      <c r="M434" t="n" s="5">
        <v>162055.2</v>
      </c>
      <c r="N434" t="n" s="7">
        <v>44530.0</v>
      </c>
      <c r="O434" t="n" s="7">
        <v>44561.0</v>
      </c>
      <c r="P434" t="s" s="1">
        <v>3384</v>
      </c>
    </row>
    <row r="435" spans="1:16">
      <c r="A435" t="n" s="4">
        <v>431</v>
      </c>
      <c r="B435" s="2">
        <f>HYPERLINK("https://my.zakupki.prom.ua/remote/dispatcher/state_purchase_view/27740435", "UA-2021-06-24-004946-c")</f>
        <v/>
      </c>
      <c r="C435" t="s" s="2">
        <v>3102</v>
      </c>
      <c r="D435" s="2">
        <f>HYPERLINK("https://my.zakupki.prom.ua/remote/dispatcher/state_contracting_view/9442791", "UA-2021-06-24-004946-c-c1")</f>
        <v/>
      </c>
      <c r="E435" t="s" s="1">
        <v>1951</v>
      </c>
      <c r="F435" t="s" s="1">
        <v>2556</v>
      </c>
      <c r="G435" t="s" s="1">
        <v>3410</v>
      </c>
      <c r="H435" t="s" s="1">
        <v>763</v>
      </c>
      <c r="I435" t="s" s="1">
        <v>2178</v>
      </c>
      <c r="J435" t="s" s="1">
        <v>3306</v>
      </c>
      <c r="K435" t="s" s="1">
        <v>996</v>
      </c>
      <c r="L435" t="s" s="1">
        <v>3059</v>
      </c>
      <c r="M435" t="n" s="5">
        <v>2949.0</v>
      </c>
      <c r="N435" t="n" s="7">
        <v>44371.0</v>
      </c>
      <c r="O435" t="n" s="7">
        <v>44561.0</v>
      </c>
      <c r="P435" t="s" s="1">
        <v>3384</v>
      </c>
    </row>
    <row r="436" spans="1:16">
      <c r="A436" t="n" s="4">
        <v>432</v>
      </c>
      <c r="B436" s="2">
        <f>HYPERLINK("https://my.zakupki.prom.ua/remote/dispatcher/state_purchase_view/27773810", "UA-2021-06-25-002519-c")</f>
        <v/>
      </c>
      <c r="C436" t="s" s="2">
        <v>3102</v>
      </c>
      <c r="D436" s="2">
        <f>HYPERLINK("https://my.zakupki.prom.ua/remote/dispatcher/state_contracting_view/9465604", "UA-2021-06-25-002519-c-c1")</f>
        <v/>
      </c>
      <c r="E436" t="s" s="1">
        <v>1936</v>
      </c>
      <c r="F436" t="s" s="1">
        <v>2446</v>
      </c>
      <c r="G436" t="s" s="1">
        <v>2446</v>
      </c>
      <c r="H436" t="s" s="1">
        <v>706</v>
      </c>
      <c r="I436" t="s" s="1">
        <v>2178</v>
      </c>
      <c r="J436" t="s" s="1">
        <v>3112</v>
      </c>
      <c r="K436" t="s" s="1">
        <v>802</v>
      </c>
      <c r="L436" t="s" s="1">
        <v>124</v>
      </c>
      <c r="M436" t="n" s="5">
        <v>142.0</v>
      </c>
      <c r="N436" t="n" s="7">
        <v>44372.0</v>
      </c>
      <c r="O436" t="n" s="7">
        <v>44561.0</v>
      </c>
      <c r="P436" t="s" s="1">
        <v>3384</v>
      </c>
    </row>
    <row r="437" spans="1:16">
      <c r="A437" t="n" s="4">
        <v>433</v>
      </c>
      <c r="B437" s="2">
        <f>HYPERLINK("https://my.zakupki.prom.ua/remote/dispatcher/state_purchase_view/27742525", "UA-2021-06-24-005540-c")</f>
        <v/>
      </c>
      <c r="C437" t="s" s="2">
        <v>3102</v>
      </c>
      <c r="D437" s="2">
        <f>HYPERLINK("https://my.zakupki.prom.ua/remote/dispatcher/state_contracting_view/9443717", "UA-2021-06-24-005540-c-c1")</f>
        <v/>
      </c>
      <c r="E437" t="s" s="1">
        <v>2091</v>
      </c>
      <c r="F437" t="s" s="1">
        <v>2374</v>
      </c>
      <c r="G437" t="s" s="1">
        <v>2374</v>
      </c>
      <c r="H437" t="s" s="1">
        <v>533</v>
      </c>
      <c r="I437" t="s" s="1">
        <v>2178</v>
      </c>
      <c r="J437" t="s" s="1">
        <v>3277</v>
      </c>
      <c r="K437" t="s" s="1">
        <v>519</v>
      </c>
      <c r="L437" t="s" s="1">
        <v>1285</v>
      </c>
      <c r="M437" t="n" s="5">
        <v>161.39</v>
      </c>
      <c r="N437" t="n" s="7">
        <v>44369.0</v>
      </c>
      <c r="O437" t="n" s="7">
        <v>44561.0</v>
      </c>
      <c r="P437" t="s" s="1">
        <v>3384</v>
      </c>
    </row>
    <row r="438" spans="1:16">
      <c r="A438" t="n" s="4">
        <v>434</v>
      </c>
      <c r="B438" s="2">
        <f>HYPERLINK("https://my.zakupki.prom.ua/remote/dispatcher/state_purchase_view/25728077", "UA-2021-04-12-005436-a")</f>
        <v/>
      </c>
      <c r="C438" t="s" s="2">
        <v>3102</v>
      </c>
      <c r="D438" s="2">
        <f>HYPERLINK("https://my.zakupki.prom.ua/remote/dispatcher/state_contracting_view/8488669", "UA-2021-04-12-005436-a-a1")</f>
        <v/>
      </c>
      <c r="E438" t="s" s="1">
        <v>1055</v>
      </c>
      <c r="F438" t="s" s="1">
        <v>2720</v>
      </c>
      <c r="G438" t="s" s="1">
        <v>2720</v>
      </c>
      <c r="H438" t="s" s="1">
        <v>785</v>
      </c>
      <c r="I438" t="s" s="1">
        <v>2178</v>
      </c>
      <c r="J438" t="s" s="1">
        <v>3306</v>
      </c>
      <c r="K438" t="s" s="1">
        <v>996</v>
      </c>
      <c r="L438" t="s" s="1">
        <v>3079</v>
      </c>
      <c r="M438" t="n" s="5">
        <v>800.0</v>
      </c>
      <c r="N438" t="n" s="7">
        <v>44298.0</v>
      </c>
      <c r="O438" t="n" s="7">
        <v>44561.0</v>
      </c>
      <c r="P438" t="s" s="1">
        <v>3384</v>
      </c>
    </row>
    <row r="439" spans="1:16">
      <c r="A439" t="n" s="4">
        <v>435</v>
      </c>
      <c r="B439" s="2">
        <f>HYPERLINK("https://my.zakupki.prom.ua/remote/dispatcher/state_purchase_view/29429691", "UA-2021-09-01-000747-a")</f>
        <v/>
      </c>
      <c r="C439" t="s" s="2">
        <v>3102</v>
      </c>
      <c r="D439" s="2">
        <f>HYPERLINK("https://my.zakupki.prom.ua/remote/dispatcher/state_contracting_view/10236888", "UA-2021-09-01-000747-a-a1")</f>
        <v/>
      </c>
      <c r="E439" t="s" s="1">
        <v>307</v>
      </c>
      <c r="F439" t="s" s="1">
        <v>2721</v>
      </c>
      <c r="G439" t="s" s="1">
        <v>2721</v>
      </c>
      <c r="H439" t="s" s="1">
        <v>785</v>
      </c>
      <c r="I439" t="s" s="1">
        <v>2178</v>
      </c>
      <c r="J439" t="s" s="1">
        <v>3356</v>
      </c>
      <c r="K439" t="s" s="1">
        <v>814</v>
      </c>
      <c r="L439" t="s" s="1">
        <v>1386</v>
      </c>
      <c r="M439" t="n" s="5">
        <v>19614.5</v>
      </c>
      <c r="N439" t="n" s="7">
        <v>44440.0</v>
      </c>
      <c r="O439" t="n" s="7">
        <v>44561.0</v>
      </c>
      <c r="P439" t="s" s="1">
        <v>3384</v>
      </c>
    </row>
    <row r="440" spans="1:16">
      <c r="A440" t="n" s="4">
        <v>436</v>
      </c>
      <c r="B440" s="2">
        <f>HYPERLINK("https://my.zakupki.prom.ua/remote/dispatcher/state_purchase_view/30153498", "UA-2021-09-23-004085-b")</f>
        <v/>
      </c>
      <c r="C440" t="s" s="2">
        <v>3102</v>
      </c>
      <c r="D440" s="2">
        <f>HYPERLINK("https://my.zakupki.prom.ua/remote/dispatcher/state_contracting_view/10570806", "UA-2021-09-23-004085-b-b1")</f>
        <v/>
      </c>
      <c r="E440" t="s" s="1">
        <v>2057</v>
      </c>
      <c r="F440" t="s" s="1">
        <v>2889</v>
      </c>
      <c r="G440" t="s" s="1">
        <v>2889</v>
      </c>
      <c r="H440" t="s" s="1">
        <v>1084</v>
      </c>
      <c r="I440" t="s" s="1">
        <v>2178</v>
      </c>
      <c r="J440" t="s" s="1">
        <v>3113</v>
      </c>
      <c r="K440" t="s" s="1">
        <v>816</v>
      </c>
      <c r="L440" t="s" s="1">
        <v>1561</v>
      </c>
      <c r="M440" t="n" s="5">
        <v>1083.6</v>
      </c>
      <c r="N440" t="n" s="7">
        <v>44462.0</v>
      </c>
      <c r="O440" t="n" s="7">
        <v>44561.0</v>
      </c>
      <c r="P440" t="s" s="1">
        <v>3384</v>
      </c>
    </row>
    <row r="441" spans="1:16">
      <c r="A441" t="n" s="4">
        <v>437</v>
      </c>
      <c r="B441" s="2">
        <f>HYPERLINK("https://my.zakupki.prom.ua/remote/dispatcher/state_purchase_view/24857025", "UA-2021-03-12-011643-b")</f>
        <v/>
      </c>
      <c r="C441" t="s" s="2">
        <v>3102</v>
      </c>
      <c r="D441" s="2">
        <f>HYPERLINK("https://my.zakupki.prom.ua/remote/dispatcher/state_contracting_view/8067875", "UA-2021-03-12-011643-b-b1")</f>
        <v/>
      </c>
      <c r="E441" t="s" s="1">
        <v>2074</v>
      </c>
      <c r="F441" t="s" s="1">
        <v>2486</v>
      </c>
      <c r="G441" t="s" s="1">
        <v>3446</v>
      </c>
      <c r="H441" t="s" s="1">
        <v>758</v>
      </c>
      <c r="I441" t="s" s="1">
        <v>2178</v>
      </c>
      <c r="J441" t="s" s="1">
        <v>2175</v>
      </c>
      <c r="K441" t="s" s="1">
        <v>516</v>
      </c>
      <c r="L441" t="s" s="1">
        <v>353</v>
      </c>
      <c r="M441" t="n" s="5">
        <v>37680.0</v>
      </c>
      <c r="N441" t="n" s="7">
        <v>44267.0</v>
      </c>
      <c r="O441" t="n" s="7">
        <v>44561.0</v>
      </c>
      <c r="P441" t="s" s="1">
        <v>3384</v>
      </c>
    </row>
    <row r="442" spans="1:16">
      <c r="A442" t="n" s="4">
        <v>438</v>
      </c>
      <c r="B442" s="2">
        <f>HYPERLINK("https://my.zakupki.prom.ua/remote/dispatcher/state_purchase_view/24775592", "UA-2021-03-11-001473-b")</f>
        <v/>
      </c>
      <c r="C442" t="s" s="2">
        <v>3102</v>
      </c>
      <c r="D442" s="2">
        <f>HYPERLINK("https://my.zakupki.prom.ua/remote/dispatcher/state_contracting_view/8028853", "UA-2021-03-11-001473-b-b1")</f>
        <v/>
      </c>
      <c r="E442" t="s" s="1">
        <v>1260</v>
      </c>
      <c r="F442" t="s" s="1">
        <v>2742</v>
      </c>
      <c r="G442" t="s" s="1">
        <v>2742</v>
      </c>
      <c r="H442" t="s" s="1">
        <v>887</v>
      </c>
      <c r="I442" t="s" s="1">
        <v>2178</v>
      </c>
      <c r="J442" t="s" s="1">
        <v>3287</v>
      </c>
      <c r="K442" t="s" s="1">
        <v>892</v>
      </c>
      <c r="L442" t="s" s="1">
        <v>303</v>
      </c>
      <c r="M442" t="n" s="5">
        <v>310000.0</v>
      </c>
      <c r="N442" t="n" s="7">
        <v>44266.0</v>
      </c>
      <c r="O442" t="n" s="7">
        <v>44561.0</v>
      </c>
      <c r="P442" t="s" s="1">
        <v>3384</v>
      </c>
    </row>
    <row r="443" spans="1:16">
      <c r="A443" t="n" s="4">
        <v>439</v>
      </c>
      <c r="B443" s="2">
        <f>HYPERLINK("https://my.zakupki.prom.ua/remote/dispatcher/state_purchase_view/25778485", "UA-2021-04-13-004524-b")</f>
        <v/>
      </c>
      <c r="C443" t="s" s="2">
        <v>3102</v>
      </c>
      <c r="D443" s="2">
        <f>HYPERLINK("https://my.zakupki.prom.ua/remote/dispatcher/state_contracting_view/9240781", "UA-2021-04-13-004524-b-b2")</f>
        <v/>
      </c>
      <c r="E443" t="s" s="1">
        <v>1536</v>
      </c>
      <c r="F443" t="s" s="1">
        <v>2705</v>
      </c>
      <c r="G443" t="s" s="1">
        <v>1791</v>
      </c>
      <c r="H443" t="s" s="1">
        <v>777</v>
      </c>
      <c r="I443" t="s" s="1">
        <v>2142</v>
      </c>
      <c r="J443" t="s" s="1">
        <v>3337</v>
      </c>
      <c r="K443" t="s" s="1">
        <v>747</v>
      </c>
      <c r="L443" t="s" s="1">
        <v>1273</v>
      </c>
      <c r="M443" t="n" s="5">
        <v>69900.0</v>
      </c>
      <c r="N443" t="n" s="7">
        <v>44356.0</v>
      </c>
      <c r="O443" t="n" s="7">
        <v>44561.0</v>
      </c>
      <c r="P443" t="s" s="1">
        <v>3384</v>
      </c>
    </row>
    <row r="444" spans="1:16">
      <c r="A444" t="n" s="4">
        <v>440</v>
      </c>
      <c r="B444" s="2">
        <f>HYPERLINK("https://my.zakupki.prom.ua/remote/dispatcher/state_purchase_view/24053120", "UA-2021-02-16-006248-a")</f>
        <v/>
      </c>
      <c r="C444" t="s" s="2">
        <v>3102</v>
      </c>
      <c r="D444" s="2">
        <f>HYPERLINK("https://my.zakupki.prom.ua/remote/dispatcher/state_contracting_view/7688059", "UA-2021-02-16-006248-a-a1")</f>
        <v/>
      </c>
      <c r="E444" t="s" s="1">
        <v>640</v>
      </c>
      <c r="F444" t="s" s="1">
        <v>2706</v>
      </c>
      <c r="G444" t="s" s="1">
        <v>3378</v>
      </c>
      <c r="H444" t="s" s="1">
        <v>777</v>
      </c>
      <c r="I444" t="s" s="1">
        <v>2178</v>
      </c>
      <c r="J444" t="s" s="1">
        <v>2154</v>
      </c>
      <c r="K444" t="s" s="1">
        <v>620</v>
      </c>
      <c r="L444" t="s" s="1">
        <v>423</v>
      </c>
      <c r="M444" t="n" s="5">
        <v>19502.65</v>
      </c>
      <c r="N444" t="n" s="7">
        <v>44243.0</v>
      </c>
      <c r="O444" t="n" s="7">
        <v>44561.0</v>
      </c>
      <c r="P444" t="s" s="1">
        <v>3384</v>
      </c>
    </row>
    <row r="445" spans="1:16">
      <c r="A445" t="n" s="4">
        <v>441</v>
      </c>
      <c r="B445" s="2">
        <f>HYPERLINK("https://my.zakupki.prom.ua/remote/dispatcher/state_purchase_view/27775630", "UA-2021-06-25-003064-c")</f>
        <v/>
      </c>
      <c r="C445" t="s" s="2">
        <v>3102</v>
      </c>
      <c r="D445" s="2">
        <f>HYPERLINK("https://my.zakupki.prom.ua/remote/dispatcher/state_contracting_view/9465197", "UA-2021-06-25-003064-c-c1")</f>
        <v/>
      </c>
      <c r="E445" t="s" s="1">
        <v>1643</v>
      </c>
      <c r="F445" t="s" s="1">
        <v>2462</v>
      </c>
      <c r="G445" t="s" s="1">
        <v>2462</v>
      </c>
      <c r="H445" t="s" s="1">
        <v>711</v>
      </c>
      <c r="I445" t="s" s="1">
        <v>2178</v>
      </c>
      <c r="J445" t="s" s="1">
        <v>3112</v>
      </c>
      <c r="K445" t="s" s="1">
        <v>802</v>
      </c>
      <c r="L445" t="s" s="1">
        <v>212</v>
      </c>
      <c r="M445" t="n" s="5">
        <v>47.0</v>
      </c>
      <c r="N445" t="n" s="7">
        <v>44372.0</v>
      </c>
      <c r="O445" t="n" s="7">
        <v>44561.0</v>
      </c>
      <c r="P445" t="s" s="1">
        <v>3384</v>
      </c>
    </row>
    <row r="446" spans="1:16">
      <c r="A446" t="n" s="4">
        <v>442</v>
      </c>
      <c r="B446" s="2">
        <f>HYPERLINK("https://my.zakupki.prom.ua/remote/dispatcher/state_purchase_view/28150988", "UA-2021-07-12-004850-c")</f>
        <v/>
      </c>
      <c r="C446" t="s" s="2">
        <v>3102</v>
      </c>
      <c r="D446" s="2">
        <f>HYPERLINK("https://my.zakupki.prom.ua/remote/dispatcher/state_contracting_view/9641438", "UA-2021-07-12-004850-c-c1")</f>
        <v/>
      </c>
      <c r="E446" t="s" s="1">
        <v>2097</v>
      </c>
      <c r="F446" t="s" s="1">
        <v>2990</v>
      </c>
      <c r="G446" t="s" s="1">
        <v>2990</v>
      </c>
      <c r="H446" t="s" s="1">
        <v>1573</v>
      </c>
      <c r="I446" t="s" s="1">
        <v>2178</v>
      </c>
      <c r="J446" t="s" s="1">
        <v>3284</v>
      </c>
      <c r="K446" t="s" s="1">
        <v>771</v>
      </c>
      <c r="L446" t="s" s="1">
        <v>1001</v>
      </c>
      <c r="M446" t="n" s="5">
        <v>2650.0</v>
      </c>
      <c r="N446" t="n" s="7">
        <v>44389.0</v>
      </c>
      <c r="O446" t="n" s="7">
        <v>44561.0</v>
      </c>
      <c r="P446" t="s" s="1">
        <v>3384</v>
      </c>
    </row>
    <row r="447" spans="1:16">
      <c r="A447" t="n" s="4">
        <v>443</v>
      </c>
      <c r="B447" s="2">
        <f>HYPERLINK("https://my.zakupki.prom.ua/remote/dispatcher/state_purchase_view/33147817", "UA-2021-12-15-012586-c")</f>
        <v/>
      </c>
      <c r="C447" t="s" s="2">
        <v>3102</v>
      </c>
      <c r="D447" s="2">
        <f>HYPERLINK("https://my.zakupki.prom.ua/remote/dispatcher/state_contracting_view/11991432", "UA-2021-12-15-012586-c-c1")</f>
        <v/>
      </c>
      <c r="E447" t="s" s="1">
        <v>172</v>
      </c>
      <c r="F447" t="s" s="1">
        <v>2965</v>
      </c>
      <c r="G447" t="s" s="1">
        <v>2965</v>
      </c>
      <c r="H447" t="s" s="1">
        <v>1450</v>
      </c>
      <c r="I447" t="s" s="1">
        <v>2178</v>
      </c>
      <c r="J447" t="s" s="1">
        <v>2134</v>
      </c>
      <c r="K447" t="s" s="1">
        <v>370</v>
      </c>
      <c r="L447" t="s" s="1">
        <v>15</v>
      </c>
      <c r="M447" t="n" s="5">
        <v>49900.0</v>
      </c>
      <c r="N447" t="n" s="7">
        <v>44545.0</v>
      </c>
      <c r="O447" t="n" s="7">
        <v>44561.0</v>
      </c>
      <c r="P447" t="s" s="1">
        <v>3384</v>
      </c>
    </row>
    <row r="448" spans="1:16">
      <c r="A448" t="n" s="4">
        <v>444</v>
      </c>
      <c r="B448" s="2">
        <f>HYPERLINK("https://my.zakupki.prom.ua/remote/dispatcher/state_purchase_view/33472905", "UA-2021-12-21-010896-c")</f>
        <v/>
      </c>
      <c r="C448" t="s" s="2">
        <v>3102</v>
      </c>
      <c r="D448" s="2">
        <f>HYPERLINK("https://my.zakupki.prom.ua/remote/dispatcher/state_contracting_view/12114374", "UA-2021-12-21-010896-c-c1")</f>
        <v/>
      </c>
      <c r="E448" t="s" s="1">
        <v>1422</v>
      </c>
      <c r="F448" t="s" s="1">
        <v>3013</v>
      </c>
      <c r="G448" t="s" s="1">
        <v>3094</v>
      </c>
      <c r="H448" t="s" s="1">
        <v>1631</v>
      </c>
      <c r="I448" t="s" s="1">
        <v>2178</v>
      </c>
      <c r="J448" t="s" s="1">
        <v>2184</v>
      </c>
      <c r="K448" t="s" s="1">
        <v>520</v>
      </c>
      <c r="L448" t="s" s="1">
        <v>1657</v>
      </c>
      <c r="M448" t="n" s="5">
        <v>12240.0</v>
      </c>
      <c r="N448" t="n" s="7">
        <v>44551.0</v>
      </c>
      <c r="O448" t="n" s="7">
        <v>44561.0</v>
      </c>
      <c r="P448" t="s" s="1">
        <v>3384</v>
      </c>
    </row>
    <row r="449" spans="1:16">
      <c r="A449" t="n" s="4">
        <v>445</v>
      </c>
      <c r="B449" s="2">
        <f>HYPERLINK("https://my.zakupki.prom.ua/remote/dispatcher/state_purchase_view/24781851", "UA-2021-03-11-003333-b")</f>
        <v/>
      </c>
      <c r="C449" t="s" s="2">
        <v>3102</v>
      </c>
      <c r="D449" s="2">
        <f>HYPERLINK("https://my.zakupki.prom.ua/remote/dispatcher/state_contracting_view/8044078", "UA-2021-03-11-003333-b-b1")</f>
        <v/>
      </c>
      <c r="E449" t="s" s="1">
        <v>1523</v>
      </c>
      <c r="F449" t="s" s="1">
        <v>3010</v>
      </c>
      <c r="G449" t="s" s="1">
        <v>3010</v>
      </c>
      <c r="H449" t="s" s="1">
        <v>1577</v>
      </c>
      <c r="I449" t="s" s="1">
        <v>2178</v>
      </c>
      <c r="J449" t="s" s="1">
        <v>3096</v>
      </c>
      <c r="K449" t="s" s="1">
        <v>575</v>
      </c>
      <c r="L449" t="s" s="1">
        <v>3115</v>
      </c>
      <c r="M449" t="n" s="5">
        <v>3829.0</v>
      </c>
      <c r="N449" t="n" s="7">
        <v>44266.0</v>
      </c>
      <c r="O449" t="n" s="7">
        <v>44561.0</v>
      </c>
      <c r="P449" t="s" s="1">
        <v>3384</v>
      </c>
    </row>
    <row r="450" spans="1:16">
      <c r="A450" t="n" s="4">
        <v>446</v>
      </c>
      <c r="B450" s="2">
        <f>HYPERLINK("https://my.zakupki.prom.ua/remote/dispatcher/state_purchase_view/25065752", "UA-2021-03-19-002004-c")</f>
        <v/>
      </c>
      <c r="C450" t="s" s="2">
        <v>3102</v>
      </c>
      <c r="D450" s="2">
        <f>HYPERLINK("https://my.zakupki.prom.ua/remote/dispatcher/state_contracting_view/8169197", "UA-2021-03-19-002004-c-c1")</f>
        <v/>
      </c>
      <c r="E450" t="s" s="1">
        <v>1870</v>
      </c>
      <c r="F450" t="s" s="1">
        <v>2354</v>
      </c>
      <c r="G450" t="s" s="1">
        <v>3086</v>
      </c>
      <c r="H450" t="s" s="1">
        <v>496</v>
      </c>
      <c r="I450" t="s" s="1">
        <v>2178</v>
      </c>
      <c r="J450" t="s" s="1">
        <v>2163</v>
      </c>
      <c r="K450" t="s" s="1">
        <v>724</v>
      </c>
      <c r="L450" t="s" s="1">
        <v>1706</v>
      </c>
      <c r="M450" t="n" s="5">
        <v>5598.8</v>
      </c>
      <c r="N450" t="n" s="7">
        <v>44273.0</v>
      </c>
      <c r="O450" t="n" s="7">
        <v>44561.0</v>
      </c>
      <c r="P450" t="s" s="1">
        <v>3384</v>
      </c>
    </row>
    <row r="451" spans="1:16">
      <c r="A451" t="n" s="4">
        <v>447</v>
      </c>
      <c r="B451" s="2">
        <f>HYPERLINK("https://my.zakupki.prom.ua/remote/dispatcher/state_purchase_view/23687014", "UA-2021-02-05-001593-a")</f>
        <v/>
      </c>
      <c r="C451" t="s" s="2">
        <v>3102</v>
      </c>
      <c r="D451" s="2">
        <f>HYPERLINK("https://my.zakupki.prom.ua/remote/dispatcher/state_contracting_view/7537240", "UA-2021-02-05-001593-a-a1")</f>
        <v/>
      </c>
      <c r="E451" t="s" s="1">
        <v>1789</v>
      </c>
      <c r="F451" t="s" s="1">
        <v>2577</v>
      </c>
      <c r="G451" t="s" s="1">
        <v>2577</v>
      </c>
      <c r="H451" t="s" s="1">
        <v>774</v>
      </c>
      <c r="I451" t="s" s="1">
        <v>2178</v>
      </c>
      <c r="J451" t="s" s="1">
        <v>3277</v>
      </c>
      <c r="K451" t="s" s="1">
        <v>519</v>
      </c>
      <c r="L451" t="s" s="1">
        <v>1566</v>
      </c>
      <c r="M451" t="n" s="5">
        <v>16523.0</v>
      </c>
      <c r="N451" t="n" s="7">
        <v>44231.0</v>
      </c>
      <c r="O451" t="n" s="7">
        <v>44561.0</v>
      </c>
      <c r="P451" t="s" s="1">
        <v>3384</v>
      </c>
    </row>
    <row r="452" spans="1:16">
      <c r="A452" t="n" s="4">
        <v>448</v>
      </c>
      <c r="B452" s="2">
        <f>HYPERLINK("https://my.zakupki.prom.ua/remote/dispatcher/state_purchase_view/25187913", "UA-2021-03-24-002978-b")</f>
        <v/>
      </c>
      <c r="C452" t="s" s="2">
        <v>3102</v>
      </c>
      <c r="D452" s="2">
        <f>HYPERLINK("https://my.zakupki.prom.ua/remote/dispatcher/state_contracting_view/8235071", "UA-2021-03-24-002978-b-b1")</f>
        <v/>
      </c>
      <c r="E452" t="s" s="1">
        <v>1627</v>
      </c>
      <c r="F452" t="s" s="1">
        <v>2382</v>
      </c>
      <c r="G452" t="s" s="1">
        <v>2179</v>
      </c>
      <c r="H452" t="s" s="1">
        <v>536</v>
      </c>
      <c r="I452" t="s" s="1">
        <v>2178</v>
      </c>
      <c r="J452" t="s" s="1">
        <v>3306</v>
      </c>
      <c r="K452" t="s" s="1">
        <v>996</v>
      </c>
      <c r="L452" t="s" s="1">
        <v>3073</v>
      </c>
      <c r="M452" t="n" s="5">
        <v>5580.0</v>
      </c>
      <c r="N452" t="n" s="7">
        <v>44279.0</v>
      </c>
      <c r="O452" t="n" s="7">
        <v>44561.0</v>
      </c>
      <c r="P452" t="s" s="1">
        <v>3384</v>
      </c>
    </row>
    <row r="453" spans="1:16">
      <c r="A453" t="n" s="4">
        <v>449</v>
      </c>
      <c r="B453" s="2">
        <f>HYPERLINK("https://my.zakupki.prom.ua/remote/dispatcher/state_purchase_view/26258000", "UA-2021-04-29-004964-c")</f>
        <v/>
      </c>
      <c r="C453" t="s" s="2">
        <v>3102</v>
      </c>
      <c r="D453" s="2">
        <f>HYPERLINK("https://my.zakupki.prom.ua/remote/dispatcher/state_contracting_view/8738853", "UA-2021-04-29-004964-c-c1")</f>
        <v/>
      </c>
      <c r="E453" t="s" s="1">
        <v>941</v>
      </c>
      <c r="F453" t="s" s="1">
        <v>2246</v>
      </c>
      <c r="G453" t="s" s="1">
        <v>2246</v>
      </c>
      <c r="H453" t="s" s="1">
        <v>232</v>
      </c>
      <c r="I453" t="s" s="1">
        <v>2178</v>
      </c>
      <c r="J453" t="s" s="1">
        <v>3112</v>
      </c>
      <c r="K453" t="s" s="1">
        <v>802</v>
      </c>
      <c r="L453" t="s" s="1">
        <v>555</v>
      </c>
      <c r="M453" t="n" s="5">
        <v>165.0</v>
      </c>
      <c r="N453" t="n" s="7">
        <v>44315.0</v>
      </c>
      <c r="O453" t="n" s="7">
        <v>44561.0</v>
      </c>
      <c r="P453" t="s" s="1">
        <v>3384</v>
      </c>
    </row>
    <row r="454" spans="1:16">
      <c r="A454" t="n" s="4">
        <v>450</v>
      </c>
      <c r="B454" s="2">
        <f>HYPERLINK("https://my.zakupki.prom.ua/remote/dispatcher/state_purchase_view/26276014", "UA-2021-04-30-000317-a")</f>
        <v/>
      </c>
      <c r="C454" t="s" s="2">
        <v>3102</v>
      </c>
      <c r="D454" s="2">
        <f>HYPERLINK("https://my.zakupki.prom.ua/remote/dispatcher/state_contracting_view/8746738", "UA-2021-04-30-000317-a-a1")</f>
        <v/>
      </c>
      <c r="E454" t="s" s="1">
        <v>1687</v>
      </c>
      <c r="F454" t="s" s="1">
        <v>2894</v>
      </c>
      <c r="G454" t="s" s="1">
        <v>2894</v>
      </c>
      <c r="H454" t="s" s="1">
        <v>1085</v>
      </c>
      <c r="I454" t="s" s="1">
        <v>2178</v>
      </c>
      <c r="J454" t="s" s="1">
        <v>3112</v>
      </c>
      <c r="K454" t="s" s="1">
        <v>802</v>
      </c>
      <c r="L454" t="s" s="1">
        <v>902</v>
      </c>
      <c r="M454" t="n" s="5">
        <v>316.0</v>
      </c>
      <c r="N454" t="n" s="7">
        <v>44315.0</v>
      </c>
      <c r="O454" t="n" s="7">
        <v>44561.0</v>
      </c>
      <c r="P454" t="s" s="1">
        <v>3384</v>
      </c>
    </row>
    <row r="455" spans="1:16">
      <c r="A455" t="n" s="4">
        <v>451</v>
      </c>
      <c r="B455" s="2">
        <f>HYPERLINK("https://my.zakupki.prom.ua/remote/dispatcher/state_purchase_view/24901581", "UA-2021-03-15-010808-b")</f>
        <v/>
      </c>
      <c r="C455" t="s" s="2">
        <v>3102</v>
      </c>
      <c r="D455" s="2">
        <f>HYPERLINK("https://my.zakupki.prom.ua/remote/dispatcher/state_contracting_view/8090244", "UA-2021-03-15-010808-b-b1")</f>
        <v/>
      </c>
      <c r="E455" t="s" s="1">
        <v>959</v>
      </c>
      <c r="F455" t="s" s="1">
        <v>2516</v>
      </c>
      <c r="G455" t="s" s="1">
        <v>3432</v>
      </c>
      <c r="H455" t="s" s="1">
        <v>759</v>
      </c>
      <c r="I455" t="s" s="1">
        <v>2178</v>
      </c>
      <c r="J455" t="s" s="1">
        <v>3258</v>
      </c>
      <c r="K455" t="s" s="1">
        <v>776</v>
      </c>
      <c r="L455" t="s" s="1">
        <v>1605</v>
      </c>
      <c r="M455" t="n" s="5">
        <v>53950.0</v>
      </c>
      <c r="N455" t="n" s="7">
        <v>44270.0</v>
      </c>
      <c r="O455" t="n" s="7">
        <v>44561.0</v>
      </c>
      <c r="P455" t="s" s="1">
        <v>3384</v>
      </c>
    </row>
    <row r="456" spans="1:16">
      <c r="A456" t="n" s="4">
        <v>452</v>
      </c>
      <c r="B456" s="2">
        <f>HYPERLINK("https://my.zakupki.prom.ua/remote/dispatcher/state_purchase_view/24900830", "UA-2021-03-15-010478-b")</f>
        <v/>
      </c>
      <c r="C456" t="s" s="2">
        <v>3102</v>
      </c>
      <c r="D456" s="2">
        <f>HYPERLINK("https://my.zakupki.prom.ua/remote/dispatcher/state_contracting_view/8089701", "UA-2021-03-15-010478-b-b1")</f>
        <v/>
      </c>
      <c r="E456" t="s" s="1">
        <v>1410</v>
      </c>
      <c r="F456" t="s" s="1">
        <v>2527</v>
      </c>
      <c r="G456" t="s" s="1">
        <v>3482</v>
      </c>
      <c r="H456" t="s" s="1">
        <v>759</v>
      </c>
      <c r="I456" t="s" s="1">
        <v>2178</v>
      </c>
      <c r="J456" t="s" s="1">
        <v>3258</v>
      </c>
      <c r="K456" t="s" s="1">
        <v>776</v>
      </c>
      <c r="L456" t="s" s="1">
        <v>1584</v>
      </c>
      <c r="M456" t="n" s="5">
        <v>39446.75</v>
      </c>
      <c r="N456" t="n" s="7">
        <v>44270.0</v>
      </c>
      <c r="O456" t="n" s="7">
        <v>44561.0</v>
      </c>
      <c r="P456" t="s" s="1">
        <v>3384</v>
      </c>
    </row>
    <row r="457" spans="1:16">
      <c r="A457" t="n" s="4">
        <v>453</v>
      </c>
      <c r="B457" s="2">
        <f>HYPERLINK("https://my.zakupki.prom.ua/remote/dispatcher/state_purchase_view/24931865", "UA-2021-03-16-004487-c")</f>
        <v/>
      </c>
      <c r="C457" t="s" s="2">
        <v>3102</v>
      </c>
      <c r="D457" s="2">
        <f>HYPERLINK("https://my.zakupki.prom.ua/remote/dispatcher/state_contracting_view/8113786", "UA-2021-03-16-004487-c-c1")</f>
        <v/>
      </c>
      <c r="E457" t="s" s="1">
        <v>2108</v>
      </c>
      <c r="F457" t="s" s="1">
        <v>2935</v>
      </c>
      <c r="G457" t="s" s="1">
        <v>2935</v>
      </c>
      <c r="H457" t="s" s="1">
        <v>1345</v>
      </c>
      <c r="I457" t="s" s="1">
        <v>2178</v>
      </c>
      <c r="J457" t="s" s="1">
        <v>3139</v>
      </c>
      <c r="K457" t="s" s="1">
        <v>457</v>
      </c>
      <c r="L457" t="s" s="1">
        <v>1058</v>
      </c>
      <c r="M457" t="n" s="5">
        <v>36000.0</v>
      </c>
      <c r="N457" t="n" s="7">
        <v>44271.0</v>
      </c>
      <c r="O457" t="n" s="7">
        <v>44561.0</v>
      </c>
      <c r="P457" t="s" s="1">
        <v>3384</v>
      </c>
    </row>
    <row r="458" spans="1:16">
      <c r="A458" t="n" s="4">
        <v>454</v>
      </c>
      <c r="B458" s="2">
        <f>HYPERLINK("https://my.zakupki.prom.ua/remote/dispatcher/state_purchase_view/24869127", "UA-2021-03-15-001023-b")</f>
        <v/>
      </c>
      <c r="C458" t="s" s="2">
        <v>3102</v>
      </c>
      <c r="D458" s="2">
        <f>HYPERLINK("https://my.zakupki.prom.ua/remote/dispatcher/state_contracting_view/8085023", "UA-2021-03-15-001023-b-b1")</f>
        <v/>
      </c>
      <c r="E458" t="s" s="1">
        <v>1956</v>
      </c>
      <c r="F458" t="s" s="1">
        <v>2841</v>
      </c>
      <c r="G458" t="s" s="1">
        <v>2841</v>
      </c>
      <c r="H458" t="s" s="1">
        <v>1069</v>
      </c>
      <c r="I458" t="s" s="1">
        <v>2178</v>
      </c>
      <c r="J458" t="s" s="1">
        <v>3112</v>
      </c>
      <c r="K458" t="s" s="1">
        <v>802</v>
      </c>
      <c r="L458" t="s" s="1">
        <v>647</v>
      </c>
      <c r="M458" t="n" s="5">
        <v>1478.43</v>
      </c>
      <c r="N458" t="n" s="7">
        <v>44270.0</v>
      </c>
      <c r="O458" t="n" s="7">
        <v>44561.0</v>
      </c>
      <c r="P458" t="s" s="1">
        <v>3384</v>
      </c>
    </row>
    <row r="459" spans="1:16">
      <c r="A459" t="n" s="4">
        <v>455</v>
      </c>
      <c r="B459" s="2">
        <f>HYPERLINK("https://my.zakupki.prom.ua/remote/dispatcher/state_purchase_view/24347927", "UA-2021-02-24-006307-b")</f>
        <v/>
      </c>
      <c r="C459" t="s" s="2">
        <v>3102</v>
      </c>
      <c r="D459" s="2">
        <f>HYPERLINK("https://my.zakupki.prom.ua/remote/dispatcher/state_contracting_view/7825660", "UA-2021-02-24-006307-b-b1")</f>
        <v/>
      </c>
      <c r="E459" t="s" s="1">
        <v>1298</v>
      </c>
      <c r="F459" t="s" s="1">
        <v>2585</v>
      </c>
      <c r="G459" t="s" s="1">
        <v>2584</v>
      </c>
      <c r="H459" t="s" s="1">
        <v>774</v>
      </c>
      <c r="I459" t="s" s="1">
        <v>2178</v>
      </c>
      <c r="J459" t="s" s="1">
        <v>3277</v>
      </c>
      <c r="K459" t="s" s="1">
        <v>519</v>
      </c>
      <c r="L459" t="s" s="1">
        <v>181</v>
      </c>
      <c r="M459" t="n" s="5">
        <v>585.63</v>
      </c>
      <c r="N459" t="n" s="7">
        <v>44249.0</v>
      </c>
      <c r="O459" t="n" s="7">
        <v>44561.0</v>
      </c>
      <c r="P459" t="s" s="1">
        <v>3384</v>
      </c>
    </row>
    <row r="460" spans="1:16">
      <c r="A460" t="n" s="4">
        <v>456</v>
      </c>
      <c r="B460" s="2">
        <f>HYPERLINK("https://my.zakupki.prom.ua/remote/dispatcher/state_purchase_view/30255993", "UA-2021-09-27-005485-b")</f>
        <v/>
      </c>
      <c r="C460" t="s" s="2">
        <v>3102</v>
      </c>
      <c r="D460" s="2">
        <f>HYPERLINK("https://my.zakupki.prom.ua/remote/dispatcher/state_contracting_view/10618221", "UA-2021-09-27-005485-b-b1")</f>
        <v/>
      </c>
      <c r="E460" t="s" s="1">
        <v>1196</v>
      </c>
      <c r="F460" t="s" s="1">
        <v>2999</v>
      </c>
      <c r="G460" t="s" s="1">
        <v>2999</v>
      </c>
      <c r="H460" t="s" s="1">
        <v>1573</v>
      </c>
      <c r="I460" t="s" s="1">
        <v>2178</v>
      </c>
      <c r="J460" t="s" s="1">
        <v>2157</v>
      </c>
      <c r="K460" t="s" s="1">
        <v>435</v>
      </c>
      <c r="L460" t="s" s="1">
        <v>839</v>
      </c>
      <c r="M460" t="n" s="5">
        <v>778.15</v>
      </c>
      <c r="N460" t="n" s="7">
        <v>44466.0</v>
      </c>
      <c r="O460" t="n" s="7">
        <v>44561.0</v>
      </c>
      <c r="P460" t="s" s="1">
        <v>3384</v>
      </c>
    </row>
    <row r="461" spans="1:16">
      <c r="A461" t="n" s="4">
        <v>457</v>
      </c>
      <c r="B461" s="2">
        <f>HYPERLINK("https://my.zakupki.prom.ua/remote/dispatcher/state_purchase_view/24087289", "UA-2021-02-17-001728-a")</f>
        <v/>
      </c>
      <c r="C461" t="s" s="2">
        <v>3102</v>
      </c>
      <c r="D461" s="2">
        <f>HYPERLINK("https://my.zakupki.prom.ua/remote/dispatcher/state_contracting_view/7713606", "UA-2021-02-17-001728-a-a1")</f>
        <v/>
      </c>
      <c r="E461" t="s" s="1">
        <v>1749</v>
      </c>
      <c r="F461" t="s" s="1">
        <v>3000</v>
      </c>
      <c r="G461" t="s" s="1">
        <v>3000</v>
      </c>
      <c r="H461" t="s" s="1">
        <v>1573</v>
      </c>
      <c r="I461" t="s" s="1">
        <v>2178</v>
      </c>
      <c r="J461" t="s" s="1">
        <v>2157</v>
      </c>
      <c r="K461" t="s" s="1">
        <v>435</v>
      </c>
      <c r="L461" t="s" s="1">
        <v>1235</v>
      </c>
      <c r="M461" t="n" s="5">
        <v>389.08</v>
      </c>
      <c r="N461" t="n" s="7">
        <v>44244.0</v>
      </c>
      <c r="O461" t="n" s="7">
        <v>44561.0</v>
      </c>
      <c r="P461" t="s" s="1">
        <v>3384</v>
      </c>
    </row>
    <row r="462" spans="1:16">
      <c r="A462" t="n" s="4">
        <v>458</v>
      </c>
      <c r="B462" s="2">
        <f>HYPERLINK("https://my.zakupki.prom.ua/remote/dispatcher/state_purchase_view/25074123", "UA-2021-03-19-004853-b")</f>
        <v/>
      </c>
      <c r="C462" t="s" s="2">
        <v>3102</v>
      </c>
      <c r="D462" s="2">
        <f>HYPERLINK("https://my.zakupki.prom.ua/remote/dispatcher/state_contracting_view/8180344", "UA-2021-03-19-004853-b-b1")</f>
        <v/>
      </c>
      <c r="E462" t="s" s="1">
        <v>1730</v>
      </c>
      <c r="F462" t="s" s="1">
        <v>2602</v>
      </c>
      <c r="G462" t="s" s="1">
        <v>3360</v>
      </c>
      <c r="H462" t="s" s="1">
        <v>774</v>
      </c>
      <c r="I462" t="s" s="1">
        <v>2178</v>
      </c>
      <c r="J462" t="s" s="1">
        <v>3131</v>
      </c>
      <c r="K462" t="s" s="1">
        <v>658</v>
      </c>
      <c r="L462" t="s" s="1">
        <v>462</v>
      </c>
      <c r="M462" t="n" s="5">
        <v>154592.5</v>
      </c>
      <c r="N462" t="n" s="7">
        <v>44274.0</v>
      </c>
      <c r="O462" t="n" s="7">
        <v>44561.0</v>
      </c>
      <c r="P462" t="s" s="1">
        <v>3384</v>
      </c>
    </row>
    <row r="463" spans="1:16">
      <c r="A463" t="n" s="4">
        <v>459</v>
      </c>
      <c r="B463" s="2">
        <f>HYPERLINK("https://my.zakupki.prom.ua/remote/dispatcher/state_purchase_view/33439995", "UA-2021-12-21-001232-c")</f>
        <v/>
      </c>
      <c r="C463" t="s" s="2">
        <v>3102</v>
      </c>
      <c r="D463" s="2">
        <f>HYPERLINK("https://my.zakupki.prom.ua/remote/dispatcher/state_contracting_view/12098101", "UA-2021-12-21-001232-c-c1")</f>
        <v/>
      </c>
      <c r="E463" t="s" s="1">
        <v>1913</v>
      </c>
      <c r="F463" t="s" s="1">
        <v>2576</v>
      </c>
      <c r="G463" t="s" s="1">
        <v>2193</v>
      </c>
      <c r="H463" t="s" s="1">
        <v>774</v>
      </c>
      <c r="I463" t="s" s="1">
        <v>2178</v>
      </c>
      <c r="J463" t="s" s="1">
        <v>3227</v>
      </c>
      <c r="K463" t="s" s="1">
        <v>463</v>
      </c>
      <c r="L463" t="s" s="1">
        <v>780</v>
      </c>
      <c r="M463" t="n" s="5">
        <v>51647.0</v>
      </c>
      <c r="N463" t="n" s="7">
        <v>44550.0</v>
      </c>
      <c r="O463" t="n" s="7">
        <v>44561.0</v>
      </c>
      <c r="P463" t="s" s="1">
        <v>3384</v>
      </c>
    </row>
    <row r="464" spans="1:16">
      <c r="A464" t="n" s="4">
        <v>460</v>
      </c>
      <c r="B464" s="2">
        <f>HYPERLINK("https://my.zakupki.prom.ua/remote/dispatcher/state_purchase_view/30526394", "UA-2021-10-06-004771-b")</f>
        <v/>
      </c>
      <c r="C464" t="s" s="2">
        <v>3102</v>
      </c>
      <c r="D464" s="2">
        <f>HYPERLINK("https://my.zakupki.prom.ua/remote/dispatcher/state_contracting_view/10752937", "UA-2021-10-06-004771-b-b1")</f>
        <v/>
      </c>
      <c r="E464" t="s" s="1">
        <v>1854</v>
      </c>
      <c r="F464" t="s" s="1">
        <v>2621</v>
      </c>
      <c r="G464" t="s" s="1">
        <v>2621</v>
      </c>
      <c r="H464" t="s" s="1">
        <v>774</v>
      </c>
      <c r="I464" t="s" s="1">
        <v>2178</v>
      </c>
      <c r="J464" t="s" s="1">
        <v>3246</v>
      </c>
      <c r="K464" t="s" s="1">
        <v>463</v>
      </c>
      <c r="L464" t="s" s="1">
        <v>608</v>
      </c>
      <c r="M464" t="n" s="5">
        <v>39256.0</v>
      </c>
      <c r="N464" t="n" s="7">
        <v>44475.0</v>
      </c>
      <c r="O464" t="n" s="7">
        <v>44561.0</v>
      </c>
      <c r="P464" t="s" s="1">
        <v>3384</v>
      </c>
    </row>
    <row r="465" spans="1:16">
      <c r="A465" t="n" s="4">
        <v>461</v>
      </c>
      <c r="B465" s="2">
        <f>HYPERLINK("https://my.zakupki.prom.ua/remote/dispatcher/state_purchase_view/26751382", "UA-2021-05-21-000269-b")</f>
        <v/>
      </c>
      <c r="C465" t="s" s="2">
        <v>3102</v>
      </c>
      <c r="D465" s="2">
        <f>HYPERLINK("https://my.zakupki.prom.ua/remote/dispatcher/state_contracting_view/8973247", "UA-2021-05-21-000269-b-b1")</f>
        <v/>
      </c>
      <c r="E465" t="s" s="1">
        <v>2006</v>
      </c>
      <c r="F465" t="s" s="1">
        <v>2617</v>
      </c>
      <c r="G465" t="s" s="1">
        <v>2617</v>
      </c>
      <c r="H465" t="s" s="1">
        <v>774</v>
      </c>
      <c r="I465" t="s" s="1">
        <v>2178</v>
      </c>
      <c r="J465" t="s" s="1">
        <v>3277</v>
      </c>
      <c r="K465" t="s" s="1">
        <v>519</v>
      </c>
      <c r="L465" t="s" s="1">
        <v>1244</v>
      </c>
      <c r="M465" t="n" s="5">
        <v>152355.0</v>
      </c>
      <c r="N465" t="n" s="7">
        <v>44337.0</v>
      </c>
      <c r="O465" t="n" s="7">
        <v>44561.0</v>
      </c>
      <c r="P465" t="s" s="1">
        <v>3384</v>
      </c>
    </row>
    <row r="466" spans="1:16">
      <c r="A466" t="n" s="4">
        <v>462</v>
      </c>
      <c r="B466" s="2">
        <f>HYPERLINK("https://my.zakupki.prom.ua/remote/dispatcher/state_purchase_view/26384686", "UA-2021-05-07-005054-b")</f>
        <v/>
      </c>
      <c r="C466" t="s" s="2">
        <v>3102</v>
      </c>
      <c r="D466" s="2">
        <f>HYPERLINK("https://my.zakupki.prom.ua/remote/dispatcher/state_contracting_view/8814112", "UA-2021-05-07-005054-b-b1")</f>
        <v/>
      </c>
      <c r="E466" t="s" s="1">
        <v>183</v>
      </c>
      <c r="F466" t="s" s="1">
        <v>2649</v>
      </c>
      <c r="G466" t="s" s="1">
        <v>3449</v>
      </c>
      <c r="H466" t="s" s="1">
        <v>774</v>
      </c>
      <c r="I466" t="s" s="1">
        <v>2178</v>
      </c>
      <c r="J466" t="s" s="1">
        <v>3285</v>
      </c>
      <c r="K466" t="s" s="1">
        <v>463</v>
      </c>
      <c r="L466" t="s" s="1">
        <v>503</v>
      </c>
      <c r="M466" t="n" s="5">
        <v>21216.0</v>
      </c>
      <c r="N466" t="n" s="7">
        <v>44323.0</v>
      </c>
      <c r="O466" t="n" s="7">
        <v>44561.0</v>
      </c>
      <c r="P466" t="s" s="1">
        <v>3384</v>
      </c>
    </row>
    <row r="467" spans="1:16">
      <c r="A467" t="n" s="4">
        <v>463</v>
      </c>
      <c r="B467" s="2">
        <f>HYPERLINK("https://my.zakupki.prom.ua/remote/dispatcher/state_purchase_view/26382710", "UA-2021-05-07-004371-b")</f>
        <v/>
      </c>
      <c r="C467" t="s" s="2">
        <v>3102</v>
      </c>
      <c r="D467" s="2">
        <f>HYPERLINK("https://my.zakupki.prom.ua/remote/dispatcher/state_contracting_view/8798494", "UA-2021-05-07-004371-b-b1")</f>
        <v/>
      </c>
      <c r="E467" t="s" s="1">
        <v>2015</v>
      </c>
      <c r="F467" t="s" s="1">
        <v>2670</v>
      </c>
      <c r="G467" t="s" s="1">
        <v>2670</v>
      </c>
      <c r="H467" t="s" s="1">
        <v>774</v>
      </c>
      <c r="I467" t="s" s="1">
        <v>2178</v>
      </c>
      <c r="J467" t="s" s="1">
        <v>3277</v>
      </c>
      <c r="K467" t="s" s="1">
        <v>519</v>
      </c>
      <c r="L467" t="s" s="1">
        <v>1172</v>
      </c>
      <c r="M467" t="n" s="5">
        <v>4800.02</v>
      </c>
      <c r="N467" t="n" s="7">
        <v>44323.0</v>
      </c>
      <c r="O467" t="n" s="7">
        <v>44561.0</v>
      </c>
      <c r="P467" t="s" s="1">
        <v>3384</v>
      </c>
    </row>
    <row r="468" spans="1:16">
      <c r="A468" t="n" s="4">
        <v>464</v>
      </c>
      <c r="B468" s="2">
        <f>HYPERLINK("https://my.zakupki.prom.ua/remote/dispatcher/state_purchase_view/31088204", "UA-2021-10-25-012235-b")</f>
        <v/>
      </c>
      <c r="C468" t="s" s="2">
        <v>3102</v>
      </c>
      <c r="D468" s="2">
        <f>HYPERLINK("https://my.zakupki.prom.ua/remote/dispatcher/state_contracting_view/11001640", "UA-2021-10-25-012235-b-b1")</f>
        <v/>
      </c>
      <c r="E468" t="s" s="1">
        <v>2106</v>
      </c>
      <c r="F468" t="s" s="1">
        <v>2581</v>
      </c>
      <c r="G468" t="s" s="1">
        <v>2581</v>
      </c>
      <c r="H468" t="s" s="1">
        <v>774</v>
      </c>
      <c r="I468" t="s" s="1">
        <v>2178</v>
      </c>
      <c r="J468" t="s" s="1">
        <v>3216</v>
      </c>
      <c r="K468" t="s" s="1">
        <v>519</v>
      </c>
      <c r="L468" t="s" s="1">
        <v>1519</v>
      </c>
      <c r="M468" t="n" s="5">
        <v>579.6</v>
      </c>
      <c r="N468" t="n" s="7">
        <v>44491.0</v>
      </c>
      <c r="O468" t="n" s="7">
        <v>44561.0</v>
      </c>
      <c r="P468" t="s" s="1">
        <v>3384</v>
      </c>
    </row>
    <row r="469" spans="1:16">
      <c r="A469" t="n" s="4">
        <v>465</v>
      </c>
      <c r="B469" s="2">
        <f>HYPERLINK("https://my.zakupki.prom.ua/remote/dispatcher/state_purchase_view/31104798", "UA-2021-10-26-001499-b")</f>
        <v/>
      </c>
      <c r="C469" t="s" s="2">
        <v>3102</v>
      </c>
      <c r="D469" s="2">
        <f>HYPERLINK("https://my.zakupki.prom.ua/remote/dispatcher/state_contracting_view/11009603", "UA-2021-10-26-001499-b-b1")</f>
        <v/>
      </c>
      <c r="E469" t="s" s="1">
        <v>612</v>
      </c>
      <c r="F469" t="s" s="1">
        <v>2595</v>
      </c>
      <c r="G469" t="s" s="1">
        <v>2595</v>
      </c>
      <c r="H469" t="s" s="1">
        <v>774</v>
      </c>
      <c r="I469" t="s" s="1">
        <v>2178</v>
      </c>
      <c r="J469" t="s" s="1">
        <v>3235</v>
      </c>
      <c r="K469" t="s" s="1">
        <v>522</v>
      </c>
      <c r="L469" t="s" s="1">
        <v>1521</v>
      </c>
      <c r="M469" t="n" s="5">
        <v>540990.0</v>
      </c>
      <c r="N469" t="n" s="7">
        <v>44494.0</v>
      </c>
      <c r="O469" t="n" s="7">
        <v>44561.0</v>
      </c>
      <c r="P469" t="s" s="1">
        <v>3384</v>
      </c>
    </row>
    <row r="470" spans="1:16">
      <c r="A470" t="n" s="4">
        <v>466</v>
      </c>
      <c r="B470" s="2">
        <f>HYPERLINK("https://my.zakupki.prom.ua/remote/dispatcher/state_purchase_view/25260949", "UA-2021-03-26-009286-c")</f>
        <v/>
      </c>
      <c r="C470" t="s" s="2">
        <v>3102</v>
      </c>
      <c r="D470" s="2">
        <f>HYPERLINK("https://my.zakupki.prom.ua/remote/dispatcher/state_contracting_view/8282413", "UA-2021-03-26-009286-c-c1")</f>
        <v/>
      </c>
      <c r="E470" t="s" s="1">
        <v>1656</v>
      </c>
      <c r="F470" t="s" s="1">
        <v>2817</v>
      </c>
      <c r="G470" t="s" s="1">
        <v>3426</v>
      </c>
      <c r="H470" t="s" s="1">
        <v>1059</v>
      </c>
      <c r="I470" t="s" s="1">
        <v>2178</v>
      </c>
      <c r="J470" t="s" s="1">
        <v>3112</v>
      </c>
      <c r="K470" t="s" s="1">
        <v>802</v>
      </c>
      <c r="L470" t="s" s="1">
        <v>309</v>
      </c>
      <c r="M470" t="n" s="5">
        <v>6896.9</v>
      </c>
      <c r="N470" t="n" s="7">
        <v>44281.0</v>
      </c>
      <c r="O470" t="n" s="7">
        <v>44561.0</v>
      </c>
      <c r="P470" t="s" s="1">
        <v>3384</v>
      </c>
    </row>
    <row r="471" spans="1:16">
      <c r="A471" t="n" s="4">
        <v>467</v>
      </c>
      <c r="B471" s="2">
        <f>HYPERLINK("https://my.zakupki.prom.ua/remote/dispatcher/state_purchase_view/25260511", "UA-2021-03-26-009009-c")</f>
        <v/>
      </c>
      <c r="C471" t="s" s="2">
        <v>3102</v>
      </c>
      <c r="D471" s="2">
        <f>HYPERLINK("https://my.zakupki.prom.ua/remote/dispatcher/state_contracting_view/8280847", "UA-2021-03-26-009009-c-c1")</f>
        <v/>
      </c>
      <c r="E471" t="s" s="1">
        <v>89</v>
      </c>
      <c r="F471" t="s" s="1">
        <v>2888</v>
      </c>
      <c r="G471" t="s" s="1">
        <v>2888</v>
      </c>
      <c r="H471" t="s" s="1">
        <v>1084</v>
      </c>
      <c r="I471" t="s" s="1">
        <v>2178</v>
      </c>
      <c r="J471" t="s" s="1">
        <v>3112</v>
      </c>
      <c r="K471" t="s" s="1">
        <v>802</v>
      </c>
      <c r="L471" t="s" s="1">
        <v>285</v>
      </c>
      <c r="M471" t="n" s="5">
        <v>2217.5</v>
      </c>
      <c r="N471" t="n" s="7">
        <v>44281.0</v>
      </c>
      <c r="O471" t="n" s="7">
        <v>44561.0</v>
      </c>
      <c r="P471" t="s" s="1">
        <v>3384</v>
      </c>
    </row>
    <row r="472" spans="1:16">
      <c r="A472" t="n" s="4">
        <v>468</v>
      </c>
      <c r="B472" s="2">
        <f>HYPERLINK("https://my.zakupki.prom.ua/remote/dispatcher/state_purchase_view/24420273", "UA-2021-02-26-000570-a")</f>
        <v/>
      </c>
      <c r="C472" t="s" s="2">
        <v>3102</v>
      </c>
      <c r="D472" s="2">
        <f>HYPERLINK("https://my.zakupki.prom.ua/remote/dispatcher/state_contracting_view/7860283", "UA-2021-02-26-000570-a-a1")</f>
        <v/>
      </c>
      <c r="E472" t="s" s="1">
        <v>379</v>
      </c>
      <c r="F472" t="s" s="1">
        <v>2534</v>
      </c>
      <c r="G472" t="s" s="1">
        <v>3531</v>
      </c>
      <c r="H472" t="s" s="1">
        <v>759</v>
      </c>
      <c r="I472" t="s" s="1">
        <v>2178</v>
      </c>
      <c r="J472" t="s" s="1">
        <v>3131</v>
      </c>
      <c r="K472" t="s" s="1">
        <v>658</v>
      </c>
      <c r="L472" t="s" s="1">
        <v>361</v>
      </c>
      <c r="M472" t="n" s="5">
        <v>4578.5</v>
      </c>
      <c r="N472" t="n" s="7">
        <v>44252.0</v>
      </c>
      <c r="O472" t="n" s="7">
        <v>44561.0</v>
      </c>
      <c r="P472" t="s" s="1">
        <v>3384</v>
      </c>
    </row>
    <row r="473" spans="1:16">
      <c r="A473" t="n" s="4">
        <v>469</v>
      </c>
      <c r="B473" s="2">
        <f>HYPERLINK("https://my.zakupki.prom.ua/remote/dispatcher/state_purchase_view/26302860", "UA-2021-05-05-001236-c")</f>
        <v/>
      </c>
      <c r="C473" t="s" s="2">
        <v>3102</v>
      </c>
      <c r="D473" s="2">
        <f>HYPERLINK("https://my.zakupki.prom.ua/remote/dispatcher/state_contracting_view/8774552", "UA-2021-05-05-001236-c-c1")</f>
        <v/>
      </c>
      <c r="E473" t="s" s="1">
        <v>665</v>
      </c>
      <c r="F473" t="s" s="1">
        <v>2740</v>
      </c>
      <c r="G473" t="s" s="1">
        <v>2740</v>
      </c>
      <c r="H473" t="s" s="1">
        <v>885</v>
      </c>
      <c r="I473" t="s" s="1">
        <v>2178</v>
      </c>
      <c r="J473" t="s" s="1">
        <v>3286</v>
      </c>
      <c r="K473" t="s" s="1">
        <v>820</v>
      </c>
      <c r="L473" t="s" s="1">
        <v>1114</v>
      </c>
      <c r="M473" t="n" s="5">
        <v>3477.5</v>
      </c>
      <c r="N473" t="n" s="7">
        <v>44321.0</v>
      </c>
      <c r="O473" t="n" s="7">
        <v>44561.0</v>
      </c>
      <c r="P473" t="s" s="1">
        <v>3384</v>
      </c>
    </row>
    <row r="474" spans="1:16">
      <c r="A474" t="n" s="4">
        <v>470</v>
      </c>
      <c r="B474" s="2">
        <f>HYPERLINK("https://my.zakupki.prom.ua/remote/dispatcher/state_purchase_view/23266380", "UA-2021-01-26-004710-b")</f>
        <v/>
      </c>
      <c r="C474" t="s" s="2">
        <v>3102</v>
      </c>
      <c r="D474" s="2">
        <f>HYPERLINK("https://my.zakupki.prom.ua/remote/dispatcher/state_contracting_view/7338548", "UA-2021-01-26-004710-b-b1")</f>
        <v/>
      </c>
      <c r="E474" t="s" s="1">
        <v>2039</v>
      </c>
      <c r="F474" t="s" s="1">
        <v>2974</v>
      </c>
      <c r="G474" t="s" s="1">
        <v>2974</v>
      </c>
      <c r="H474" t="s" s="1">
        <v>1459</v>
      </c>
      <c r="I474" t="s" s="1">
        <v>2178</v>
      </c>
      <c r="J474" t="s" s="1">
        <v>3260</v>
      </c>
      <c r="K474" t="s" s="1">
        <v>990</v>
      </c>
      <c r="L474" t="s" s="1">
        <v>1230</v>
      </c>
      <c r="M474" t="n" s="5">
        <v>49000.0</v>
      </c>
      <c r="N474" t="n" s="7">
        <v>44221.0</v>
      </c>
      <c r="O474" t="n" s="7">
        <v>44561.0</v>
      </c>
      <c r="P474" t="s" s="1">
        <v>3384</v>
      </c>
    </row>
    <row r="475" spans="1:16">
      <c r="A475" t="n" s="4">
        <v>471</v>
      </c>
      <c r="B475" s="2">
        <f>HYPERLINK("https://my.zakupki.prom.ua/remote/dispatcher/state_purchase_view/30910325", "UA-2021-10-20-006886-b")</f>
        <v/>
      </c>
      <c r="C475" t="s" s="2">
        <v>3102</v>
      </c>
      <c r="D475" s="2">
        <f>HYPERLINK("https://my.zakupki.prom.ua/remote/dispatcher/state_contracting_view/10920078", "UA-2021-10-20-006886-b-b1")</f>
        <v/>
      </c>
      <c r="E475" t="s" s="1">
        <v>1158</v>
      </c>
      <c r="F475" t="s" s="1">
        <v>2967</v>
      </c>
      <c r="G475" t="s" s="1">
        <v>2967</v>
      </c>
      <c r="H475" t="s" s="1">
        <v>1451</v>
      </c>
      <c r="I475" t="s" s="1">
        <v>2178</v>
      </c>
      <c r="J475" t="s" s="1">
        <v>3232</v>
      </c>
      <c r="K475" t="s" s="1">
        <v>1027</v>
      </c>
      <c r="L475" t="s" s="1">
        <v>891</v>
      </c>
      <c r="M475" t="n" s="5">
        <v>5400.0</v>
      </c>
      <c r="N475" t="n" s="7">
        <v>44489.0</v>
      </c>
      <c r="O475" t="n" s="7">
        <v>44561.0</v>
      </c>
      <c r="P475" t="s" s="1">
        <v>3384</v>
      </c>
    </row>
    <row r="476" spans="1:16">
      <c r="A476" t="n" s="4">
        <v>472</v>
      </c>
      <c r="B476" s="2">
        <f>HYPERLINK("https://my.zakupki.prom.ua/remote/dispatcher/state_purchase_view/22894847", "UA-2021-01-11-000865-a")</f>
        <v/>
      </c>
      <c r="C476" t="s" s="2">
        <v>3102</v>
      </c>
      <c r="D476" s="2">
        <f>HYPERLINK("https://my.zakupki.prom.ua/remote/dispatcher/state_contracting_view/7202577", "UA-2021-01-11-000865-a-a1")</f>
        <v/>
      </c>
      <c r="E476" t="s" s="1">
        <v>1328</v>
      </c>
      <c r="F476" t="s" s="1">
        <v>3030</v>
      </c>
      <c r="G476" t="s" s="1">
        <v>3030</v>
      </c>
      <c r="H476" t="s" s="1">
        <v>1713</v>
      </c>
      <c r="I476" t="s" s="1">
        <v>2178</v>
      </c>
      <c r="J476" t="s" s="1">
        <v>3274</v>
      </c>
      <c r="K476" t="s" s="1">
        <v>870</v>
      </c>
      <c r="L476" t="s" s="1">
        <v>28</v>
      </c>
      <c r="M476" t="n" s="5">
        <v>49980.0</v>
      </c>
      <c r="N476" t="n" s="7">
        <v>44207.0</v>
      </c>
      <c r="O476" t="n" s="7">
        <v>44561.0</v>
      </c>
      <c r="P476" t="s" s="1">
        <v>3384</v>
      </c>
    </row>
    <row r="477" spans="1:16">
      <c r="A477" t="n" s="4">
        <v>473</v>
      </c>
      <c r="B477" s="2">
        <f>HYPERLINK("https://my.zakupki.prom.ua/remote/dispatcher/state_purchase_view/26997160", "UA-2021-05-28-009192-b")</f>
        <v/>
      </c>
      <c r="C477" t="s" s="2">
        <v>3102</v>
      </c>
      <c r="D477" s="2">
        <f>HYPERLINK("https://my.zakupki.prom.ua/remote/dispatcher/state_contracting_view/9091130", "UA-2021-05-28-009192-b-b1")</f>
        <v/>
      </c>
      <c r="E477" t="s" s="1">
        <v>1900</v>
      </c>
      <c r="F477" t="s" s="1">
        <v>2622</v>
      </c>
      <c r="G477" t="s" s="1">
        <v>2622</v>
      </c>
      <c r="H477" t="s" s="1">
        <v>774</v>
      </c>
      <c r="I477" t="s" s="1">
        <v>2178</v>
      </c>
      <c r="J477" t="s" s="1">
        <v>3285</v>
      </c>
      <c r="K477" t="s" s="1">
        <v>463</v>
      </c>
      <c r="L477" t="s" s="1">
        <v>544</v>
      </c>
      <c r="M477" t="n" s="5">
        <v>9814.0</v>
      </c>
      <c r="N477" t="n" s="7">
        <v>44344.0</v>
      </c>
      <c r="O477" t="n" s="7">
        <v>44561.0</v>
      </c>
      <c r="P477" t="s" s="1">
        <v>3384</v>
      </c>
    </row>
    <row r="478" spans="1:16">
      <c r="A478" t="n" s="4">
        <v>474</v>
      </c>
      <c r="B478" s="2">
        <f>HYPERLINK("https://my.zakupki.prom.ua/remote/dispatcher/state_purchase_view/26303658", "UA-2021-05-05-001428-c")</f>
        <v/>
      </c>
      <c r="C478" t="s" s="2">
        <v>3102</v>
      </c>
      <c r="D478" s="2">
        <f>HYPERLINK("https://my.zakupki.prom.ua/remote/dispatcher/state_contracting_view/8774312", "UA-2021-05-05-001428-c-c1")</f>
        <v/>
      </c>
      <c r="E478" t="s" s="1">
        <v>960</v>
      </c>
      <c r="F478" t="s" s="1">
        <v>2679</v>
      </c>
      <c r="G478" t="s" s="1">
        <v>3512</v>
      </c>
      <c r="H478" t="s" s="1">
        <v>774</v>
      </c>
      <c r="I478" t="s" s="1">
        <v>2178</v>
      </c>
      <c r="J478" t="s" s="1">
        <v>3277</v>
      </c>
      <c r="K478" t="s" s="1">
        <v>519</v>
      </c>
      <c r="L478" t="s" s="1">
        <v>1107</v>
      </c>
      <c r="M478" t="n" s="5">
        <v>67842.25</v>
      </c>
      <c r="N478" t="n" s="7">
        <v>44321.0</v>
      </c>
      <c r="O478" t="n" s="7">
        <v>44561.0</v>
      </c>
      <c r="P478" t="s" s="1">
        <v>3384</v>
      </c>
    </row>
    <row r="479" spans="1:16">
      <c r="A479" t="n" s="4">
        <v>475</v>
      </c>
      <c r="B479" s="2">
        <f>HYPERLINK("https://my.zakupki.prom.ua/remote/dispatcher/state_purchase_view/24349051", "UA-2021-02-24-006673-b")</f>
        <v/>
      </c>
      <c r="C479" t="s" s="2">
        <v>3102</v>
      </c>
      <c r="D479" s="2">
        <f>HYPERLINK("https://my.zakupki.prom.ua/remote/dispatcher/state_contracting_view/7826179", "UA-2021-02-24-006673-b-b1")</f>
        <v/>
      </c>
      <c r="E479" t="s" s="1">
        <v>1827</v>
      </c>
      <c r="F479" t="s" s="1">
        <v>2511</v>
      </c>
      <c r="G479" t="s" s="1">
        <v>3430</v>
      </c>
      <c r="H479" t="s" s="1">
        <v>759</v>
      </c>
      <c r="I479" t="s" s="1">
        <v>2178</v>
      </c>
      <c r="J479" t="s" s="1">
        <v>3111</v>
      </c>
      <c r="K479" t="s" s="1">
        <v>513</v>
      </c>
      <c r="L479" t="s" s="1">
        <v>191</v>
      </c>
      <c r="M479" t="n" s="5">
        <v>54560.0</v>
      </c>
      <c r="N479" t="n" s="7">
        <v>44251.0</v>
      </c>
      <c r="O479" t="n" s="7">
        <v>44561.0</v>
      </c>
      <c r="P479" t="s" s="1">
        <v>3384</v>
      </c>
    </row>
    <row r="480" spans="1:16">
      <c r="A480" t="n" s="4">
        <v>476</v>
      </c>
      <c r="B480" s="2">
        <f>HYPERLINK("https://my.zakupki.prom.ua/remote/dispatcher/state_purchase_view/24285329", "UA-2021-02-23-001669-b")</f>
        <v/>
      </c>
      <c r="C480" t="s" s="2">
        <v>3102</v>
      </c>
      <c r="D480" s="2">
        <f>HYPERLINK("https://my.zakupki.prom.ua/remote/dispatcher/state_contracting_view/7796255", "UA-2021-02-23-001669-b-b1")</f>
        <v/>
      </c>
      <c r="E480" t="s" s="1">
        <v>1425</v>
      </c>
      <c r="F480" t="s" s="1">
        <v>2741</v>
      </c>
      <c r="G480" t="s" s="1">
        <v>2741</v>
      </c>
      <c r="H480" t="s" s="1">
        <v>885</v>
      </c>
      <c r="I480" t="s" s="1">
        <v>2178</v>
      </c>
      <c r="J480" t="s" s="1">
        <v>3117</v>
      </c>
      <c r="K480" t="s" s="1">
        <v>495</v>
      </c>
      <c r="L480" t="s" s="1">
        <v>170</v>
      </c>
      <c r="M480" t="n" s="5">
        <v>28500.0</v>
      </c>
      <c r="N480" t="n" s="7">
        <v>44250.0</v>
      </c>
      <c r="O480" t="n" s="7">
        <v>44561.0</v>
      </c>
      <c r="P480" t="s" s="1">
        <v>3384</v>
      </c>
    </row>
    <row r="481" spans="1:16">
      <c r="A481" t="n" s="4">
        <v>477</v>
      </c>
      <c r="B481" s="2">
        <f>HYPERLINK("https://my.zakupki.prom.ua/remote/dispatcher/state_purchase_view/24256879", "UA-2021-02-22-010666-b")</f>
        <v/>
      </c>
      <c r="C481" t="s" s="2">
        <v>3102</v>
      </c>
      <c r="D481" s="2">
        <f>HYPERLINK("https://my.zakupki.prom.ua/remote/dispatcher/state_contracting_view/7785795", "UA-2021-02-22-010666-b-b1")</f>
        <v/>
      </c>
      <c r="E481" t="s" s="1">
        <v>1692</v>
      </c>
      <c r="F481" t="s" s="1">
        <v>2494</v>
      </c>
      <c r="G481" t="s" s="1">
        <v>3471</v>
      </c>
      <c r="H481" t="s" s="1">
        <v>759</v>
      </c>
      <c r="I481" t="s" s="1">
        <v>2178</v>
      </c>
      <c r="J481" t="s" s="1">
        <v>3258</v>
      </c>
      <c r="K481" t="s" s="1">
        <v>776</v>
      </c>
      <c r="L481" t="s" s="1">
        <v>1164</v>
      </c>
      <c r="M481" t="n" s="5">
        <v>31800.0</v>
      </c>
      <c r="N481" t="n" s="7">
        <v>44249.0</v>
      </c>
      <c r="O481" t="n" s="7">
        <v>44561.0</v>
      </c>
      <c r="P481" t="s" s="1">
        <v>3384</v>
      </c>
    </row>
    <row r="482" spans="1:16">
      <c r="A482" t="n" s="4">
        <v>478</v>
      </c>
      <c r="B482" s="2">
        <f>HYPERLINK("https://my.zakupki.prom.ua/remote/dispatcher/state_purchase_view/25660896", "UA-2021-04-08-005363-a")</f>
        <v/>
      </c>
      <c r="C482" t="s" s="2">
        <v>3102</v>
      </c>
      <c r="D482" s="2">
        <f>HYPERLINK("https://my.zakupki.prom.ua/remote/dispatcher/state_contracting_view/8453549", "UA-2021-04-08-005363-a-a1")</f>
        <v/>
      </c>
      <c r="E482" t="s" s="1">
        <v>1138</v>
      </c>
      <c r="F482" t="s" s="1">
        <v>2662</v>
      </c>
      <c r="G482" t="s" s="1">
        <v>3479</v>
      </c>
      <c r="H482" t="s" s="1">
        <v>774</v>
      </c>
      <c r="I482" t="s" s="1">
        <v>2178</v>
      </c>
      <c r="J482" t="s" s="1">
        <v>3277</v>
      </c>
      <c r="K482" t="s" s="1">
        <v>519</v>
      </c>
      <c r="L482" t="s" s="1">
        <v>898</v>
      </c>
      <c r="M482" t="n" s="5">
        <v>347.56</v>
      </c>
      <c r="N482" t="n" s="7">
        <v>44294.0</v>
      </c>
      <c r="O482" t="n" s="7">
        <v>44561.0</v>
      </c>
      <c r="P482" t="s" s="1">
        <v>3384</v>
      </c>
    </row>
    <row r="483" spans="1:16">
      <c r="A483" t="n" s="4">
        <v>479</v>
      </c>
      <c r="B483" s="2">
        <f>HYPERLINK("https://my.zakupki.prom.ua/remote/dispatcher/state_purchase_view/25357535", "UA-2021-03-29-005666-b")</f>
        <v/>
      </c>
      <c r="C483" t="s" s="2">
        <v>3102</v>
      </c>
      <c r="D483" s="2">
        <f>HYPERLINK("https://my.zakupki.prom.ua/remote/dispatcher/state_contracting_view/8307985", "UA-2021-03-29-005666-b-b1")</f>
        <v/>
      </c>
      <c r="E483" t="s" s="1">
        <v>2096</v>
      </c>
      <c r="F483" t="s" s="1">
        <v>2528</v>
      </c>
      <c r="G483" t="s" s="1">
        <v>3483</v>
      </c>
      <c r="H483" t="s" s="1">
        <v>759</v>
      </c>
      <c r="I483" t="s" s="1">
        <v>2178</v>
      </c>
      <c r="J483" t="s" s="1">
        <v>3285</v>
      </c>
      <c r="K483" t="s" s="1">
        <v>463</v>
      </c>
      <c r="L483" t="s" s="1">
        <v>324</v>
      </c>
      <c r="M483" t="n" s="5">
        <v>18837.0</v>
      </c>
      <c r="N483" t="n" s="7">
        <v>44284.0</v>
      </c>
      <c r="O483" t="n" s="7">
        <v>44561.0</v>
      </c>
      <c r="P483" t="s" s="1">
        <v>3384</v>
      </c>
    </row>
    <row r="484" spans="1:16">
      <c r="A484" t="n" s="4">
        <v>480</v>
      </c>
      <c r="B484" s="2">
        <f>HYPERLINK("https://my.zakupki.prom.ua/remote/dispatcher/state_purchase_view/25237756", "UA-2021-03-25-005205-b")</f>
        <v/>
      </c>
      <c r="C484" t="s" s="2">
        <v>3102</v>
      </c>
      <c r="D484" s="2">
        <f>HYPERLINK("https://my.zakupki.prom.ua/remote/dispatcher/state_contracting_view/8273418", "UA-2021-03-25-005205-b-b1")</f>
        <v/>
      </c>
      <c r="E484" t="s" s="1">
        <v>19</v>
      </c>
      <c r="F484" t="s" s="1">
        <v>2282</v>
      </c>
      <c r="G484" t="s" s="1">
        <v>3416</v>
      </c>
      <c r="H484" t="s" s="1">
        <v>264</v>
      </c>
      <c r="I484" t="s" s="1">
        <v>2178</v>
      </c>
      <c r="J484" t="s" s="1">
        <v>3356</v>
      </c>
      <c r="K484" t="s" s="1">
        <v>814</v>
      </c>
      <c r="L484" t="s" s="1">
        <v>583</v>
      </c>
      <c r="M484" t="n" s="5">
        <v>6700.0</v>
      </c>
      <c r="N484" t="n" s="7">
        <v>44279.0</v>
      </c>
      <c r="O484" t="n" s="7">
        <v>44561.0</v>
      </c>
      <c r="P484" t="s" s="1">
        <v>3384</v>
      </c>
    </row>
    <row r="485" spans="1:16">
      <c r="A485" t="n" s="4">
        <v>481</v>
      </c>
      <c r="B485" s="2">
        <f>HYPERLINK("https://my.zakupki.prom.ua/remote/dispatcher/state_purchase_view/28178286", "UA-2021-07-13-002343-c")</f>
        <v/>
      </c>
      <c r="C485" t="s" s="2">
        <v>3102</v>
      </c>
      <c r="D485" s="2">
        <f>HYPERLINK("https://my.zakupki.prom.ua/remote/dispatcher/state_contracting_view/9653354", "UA-2021-07-13-002343-c-c1")</f>
        <v/>
      </c>
      <c r="E485" t="s" s="1">
        <v>1697</v>
      </c>
      <c r="F485" t="s" s="1">
        <v>3018</v>
      </c>
      <c r="G485" t="s" s="1">
        <v>3018</v>
      </c>
      <c r="H485" t="s" s="1">
        <v>1632</v>
      </c>
      <c r="I485" t="s" s="1">
        <v>2178</v>
      </c>
      <c r="J485" t="s" s="1">
        <v>3257</v>
      </c>
      <c r="K485" t="s" s="1">
        <v>912</v>
      </c>
      <c r="L485" t="s" s="1">
        <v>1346</v>
      </c>
      <c r="M485" t="n" s="5">
        <v>180000.0</v>
      </c>
      <c r="N485" t="n" s="7">
        <v>44390.0</v>
      </c>
      <c r="O485" t="n" s="7">
        <v>44561.0</v>
      </c>
      <c r="P485" t="s" s="1">
        <v>3384</v>
      </c>
    </row>
    <row r="486" spans="1:16">
      <c r="A486" t="n" s="4">
        <v>482</v>
      </c>
      <c r="B486" s="2">
        <f>HYPERLINK("https://my.zakupki.prom.ua/remote/dispatcher/state_purchase_view/24261197", "UA-2021-02-22-012769-b")</f>
        <v/>
      </c>
      <c r="C486" t="s" s="2">
        <v>3102</v>
      </c>
      <c r="D486" s="2">
        <f>HYPERLINK("https://my.zakupki.prom.ua/remote/dispatcher/state_contracting_view/7789966", "UA-2021-02-22-012769-b-b1")</f>
        <v/>
      </c>
      <c r="E486" t="s" s="1">
        <v>1809</v>
      </c>
      <c r="F486" t="s" s="1">
        <v>2747</v>
      </c>
      <c r="G486" t="s" s="1">
        <v>2747</v>
      </c>
      <c r="H486" t="s" s="1">
        <v>908</v>
      </c>
      <c r="I486" t="s" s="1">
        <v>2178</v>
      </c>
      <c r="J486" t="s" s="1">
        <v>2131</v>
      </c>
      <c r="K486" t="s" s="1">
        <v>605</v>
      </c>
      <c r="L486" t="s" s="1">
        <v>168</v>
      </c>
      <c r="M486" t="n" s="5">
        <v>49980.0</v>
      </c>
      <c r="N486" t="n" s="7">
        <v>44249.0</v>
      </c>
      <c r="O486" t="n" s="7">
        <v>44561.0</v>
      </c>
      <c r="P486" t="s" s="1">
        <v>3384</v>
      </c>
    </row>
    <row r="487" spans="1:16">
      <c r="A487" t="n" s="4">
        <v>483</v>
      </c>
      <c r="B487" s="2">
        <f>HYPERLINK("https://my.zakupki.prom.ua/remote/dispatcher/state_purchase_view/23527664", "UA-2021-02-02-003763-a")</f>
        <v/>
      </c>
      <c r="C487" t="s" s="2">
        <v>3102</v>
      </c>
      <c r="D487" s="2">
        <f>HYPERLINK("https://my.zakupki.prom.ua/remote/dispatcher/state_contracting_view/7450522", "UA-2021-02-02-003763-a-a1")</f>
        <v/>
      </c>
      <c r="E487" t="s" s="1">
        <v>1243</v>
      </c>
      <c r="F487" t="s" s="1">
        <v>2357</v>
      </c>
      <c r="G487" t="s" s="1">
        <v>2357</v>
      </c>
      <c r="H487" t="s" s="1">
        <v>496</v>
      </c>
      <c r="I487" t="s" s="1">
        <v>2178</v>
      </c>
      <c r="J487" t="s" s="1">
        <v>3334</v>
      </c>
      <c r="K487" t="s" s="1">
        <v>817</v>
      </c>
      <c r="L487" t="s" s="1">
        <v>1457</v>
      </c>
      <c r="M487" t="n" s="5">
        <v>353.0</v>
      </c>
      <c r="N487" t="n" s="7">
        <v>44229.0</v>
      </c>
      <c r="O487" t="n" s="7">
        <v>44561.0</v>
      </c>
      <c r="P487" t="s" s="1">
        <v>3384</v>
      </c>
    </row>
    <row r="488" spans="1:16">
      <c r="A488" t="n" s="4">
        <v>484</v>
      </c>
      <c r="B488" s="2">
        <f>HYPERLINK("https://my.zakupki.prom.ua/remote/dispatcher/state_purchase_view/23773994", "UA-2021-02-08-009636-a")</f>
        <v/>
      </c>
      <c r="C488" t="s" s="2">
        <v>3102</v>
      </c>
      <c r="D488" s="2">
        <f>HYPERLINK("https://my.zakupki.prom.ua/remote/dispatcher/state_contracting_view/7558997", "UA-2021-02-08-009636-a-a1")</f>
        <v/>
      </c>
      <c r="E488" t="s" s="1">
        <v>387</v>
      </c>
      <c r="F488" t="s" s="1">
        <v>2292</v>
      </c>
      <c r="G488" t="s" s="1">
        <v>3110</v>
      </c>
      <c r="H488" t="s" s="1">
        <v>273</v>
      </c>
      <c r="I488" t="s" s="1">
        <v>2178</v>
      </c>
      <c r="J488" t="s" s="1">
        <v>3356</v>
      </c>
      <c r="K488" t="s" s="1">
        <v>814</v>
      </c>
      <c r="L488" t="s" s="1">
        <v>1628</v>
      </c>
      <c r="M488" t="n" s="5">
        <v>30000.0</v>
      </c>
      <c r="N488" t="n" s="7">
        <v>44235.0</v>
      </c>
      <c r="O488" t="n" s="7">
        <v>44561.0</v>
      </c>
      <c r="P488" t="s" s="1">
        <v>3384</v>
      </c>
    </row>
    <row r="489" spans="1:16">
      <c r="A489" t="n" s="4">
        <v>485</v>
      </c>
      <c r="B489" s="2">
        <f>HYPERLINK("https://my.zakupki.prom.ua/remote/dispatcher/state_purchase_view/26605788", "UA-2021-05-17-013401-b")</f>
        <v/>
      </c>
      <c r="C489" t="s" s="2">
        <v>3102</v>
      </c>
      <c r="D489" s="2">
        <f>HYPERLINK("https://my.zakupki.prom.ua/remote/dispatcher/state_contracting_view/8907241", "UA-2021-05-17-013401-b-b1")</f>
        <v/>
      </c>
      <c r="E489" t="s" s="1">
        <v>131</v>
      </c>
      <c r="F489" t="s" s="1">
        <v>2507</v>
      </c>
      <c r="G489" t="s" s="1">
        <v>2507</v>
      </c>
      <c r="H489" t="s" s="1">
        <v>759</v>
      </c>
      <c r="I489" t="s" s="1">
        <v>2178</v>
      </c>
      <c r="J489" t="s" s="1">
        <v>3258</v>
      </c>
      <c r="K489" t="s" s="1">
        <v>776</v>
      </c>
      <c r="L489" t="s" s="1">
        <v>358</v>
      </c>
      <c r="M489" t="n" s="5">
        <v>110000.0</v>
      </c>
      <c r="N489" t="n" s="7">
        <v>44333.0</v>
      </c>
      <c r="O489" t="n" s="7">
        <v>44561.0</v>
      </c>
      <c r="P489" t="s" s="1">
        <v>3384</v>
      </c>
    </row>
    <row r="490" spans="1:16">
      <c r="A490" t="n" s="4">
        <v>486</v>
      </c>
      <c r="B490" s="2">
        <f>HYPERLINK("https://my.zakupki.prom.ua/remote/dispatcher/state_purchase_view/26613134", "UA-2021-05-18-000431-b")</f>
        <v/>
      </c>
      <c r="C490" t="s" s="2">
        <v>3102</v>
      </c>
      <c r="D490" s="2">
        <f>HYPERLINK("https://my.zakupki.prom.ua/remote/dispatcher/state_contracting_view/8907670", "UA-2021-05-18-000431-b-b1")</f>
        <v/>
      </c>
      <c r="E490" t="s" s="1">
        <v>824</v>
      </c>
      <c r="F490" t="s" s="1">
        <v>2383</v>
      </c>
      <c r="G490" t="s" s="1">
        <v>3386</v>
      </c>
      <c r="H490" t="s" s="1">
        <v>536</v>
      </c>
      <c r="I490" t="s" s="1">
        <v>2178</v>
      </c>
      <c r="J490" t="s" s="1">
        <v>3306</v>
      </c>
      <c r="K490" t="s" s="1">
        <v>996</v>
      </c>
      <c r="L490" t="s" s="1">
        <v>3052</v>
      </c>
      <c r="M490" t="n" s="5">
        <v>5580.0</v>
      </c>
      <c r="N490" t="n" s="7">
        <v>44333.0</v>
      </c>
      <c r="O490" t="n" s="7">
        <v>44561.0</v>
      </c>
      <c r="P490" t="s" s="1">
        <v>3384</v>
      </c>
    </row>
    <row r="491" spans="1:16">
      <c r="A491" t="n" s="4">
        <v>487</v>
      </c>
      <c r="B491" s="2">
        <f>HYPERLINK("https://my.zakupki.prom.ua/remote/dispatcher/state_purchase_view/26549643", "UA-2021-05-14-007911-c")</f>
        <v/>
      </c>
      <c r="C491" t="s" s="2">
        <v>3102</v>
      </c>
      <c r="D491" s="2">
        <f>HYPERLINK("https://my.zakupki.prom.ua/remote/dispatcher/state_contracting_view/8878109", "UA-2021-05-14-007911-c-c1")</f>
        <v/>
      </c>
      <c r="E491" t="s" s="1">
        <v>1297</v>
      </c>
      <c r="F491" t="s" s="1">
        <v>2903</v>
      </c>
      <c r="G491" t="s" s="1">
        <v>2904</v>
      </c>
      <c r="H491" t="s" s="1">
        <v>1108</v>
      </c>
      <c r="I491" t="s" s="1">
        <v>2178</v>
      </c>
      <c r="J491" t="s" s="1">
        <v>3106</v>
      </c>
      <c r="K491" t="s" s="1">
        <v>754</v>
      </c>
      <c r="L491" t="s" s="1">
        <v>119</v>
      </c>
      <c r="M491" t="n" s="5">
        <v>15000.0</v>
      </c>
      <c r="N491" t="n" s="7">
        <v>44330.0</v>
      </c>
      <c r="O491" t="n" s="7">
        <v>44561.0</v>
      </c>
      <c r="P491" t="s" s="1">
        <v>3384</v>
      </c>
    </row>
    <row r="492" spans="1:16">
      <c r="A492" t="n" s="4">
        <v>488</v>
      </c>
      <c r="B492" s="2">
        <f>HYPERLINK("https://my.zakupki.prom.ua/remote/dispatcher/state_purchase_view/26604397", "UA-2021-05-17-012887-b")</f>
        <v/>
      </c>
      <c r="C492" t="s" s="2">
        <v>3102</v>
      </c>
      <c r="D492" s="2">
        <f>HYPERLINK("https://my.zakupki.prom.ua/remote/dispatcher/state_contracting_view/8903396", "UA-2021-05-17-012887-b-b1")</f>
        <v/>
      </c>
      <c r="E492" t="s" s="1">
        <v>1892</v>
      </c>
      <c r="F492" t="s" s="1">
        <v>2522</v>
      </c>
      <c r="G492" t="s" s="1">
        <v>3474</v>
      </c>
      <c r="H492" t="s" s="1">
        <v>759</v>
      </c>
      <c r="I492" t="s" s="1">
        <v>2178</v>
      </c>
      <c r="J492" t="s" s="1">
        <v>3258</v>
      </c>
      <c r="K492" t="s" s="1">
        <v>776</v>
      </c>
      <c r="L492" t="s" s="1">
        <v>352</v>
      </c>
      <c r="M492" t="n" s="5">
        <v>68800.0</v>
      </c>
      <c r="N492" t="n" s="7">
        <v>44333.0</v>
      </c>
      <c r="O492" t="n" s="7">
        <v>44561.0</v>
      </c>
      <c r="P492" t="s" s="1">
        <v>3384</v>
      </c>
    </row>
    <row r="493" spans="1:16">
      <c r="A493" t="n" s="4">
        <v>489</v>
      </c>
      <c r="B493" s="2">
        <f>HYPERLINK("https://my.zakupki.prom.ua/remote/dispatcher/state_purchase_view/30681727", "UA-2021-10-11-009340-b")</f>
        <v/>
      </c>
      <c r="C493" t="s" s="2">
        <v>3102</v>
      </c>
      <c r="D493" s="2">
        <f>HYPERLINK("https://my.zakupki.prom.ua/remote/dispatcher/state_contracting_view/10813241", "UA-2021-10-11-009340-b-b1")</f>
        <v/>
      </c>
      <c r="E493" t="s" s="1">
        <v>394</v>
      </c>
      <c r="F493" t="s" s="1">
        <v>2308</v>
      </c>
      <c r="G493" t="s" s="1">
        <v>2308</v>
      </c>
      <c r="H493" t="s" s="1">
        <v>278</v>
      </c>
      <c r="I493" t="s" s="1">
        <v>2178</v>
      </c>
      <c r="J493" t="s" s="1">
        <v>3356</v>
      </c>
      <c r="K493" t="s" s="1">
        <v>814</v>
      </c>
      <c r="L493" t="s" s="1">
        <v>1505</v>
      </c>
      <c r="M493" t="n" s="5">
        <v>2780.0</v>
      </c>
      <c r="N493" t="n" s="7">
        <v>44480.0</v>
      </c>
      <c r="O493" t="n" s="7">
        <v>44561.0</v>
      </c>
      <c r="P493" t="s" s="1">
        <v>3384</v>
      </c>
    </row>
    <row r="494" spans="1:16">
      <c r="A494" t="n" s="4">
        <v>490</v>
      </c>
      <c r="B494" s="2">
        <f>HYPERLINK("https://my.zakupki.prom.ua/remote/dispatcher/state_purchase_view/24458215", "UA-2021-03-01-000247-a")</f>
        <v/>
      </c>
      <c r="C494" t="s" s="2">
        <v>3102</v>
      </c>
      <c r="D494" s="2">
        <f>HYPERLINK("https://my.zakupki.prom.ua/remote/dispatcher/state_contracting_view/7878160", "UA-2021-03-01-000247-a-a1")</f>
        <v/>
      </c>
      <c r="E494" t="s" s="1">
        <v>2098</v>
      </c>
      <c r="F494" t="s" s="1">
        <v>2979</v>
      </c>
      <c r="G494" t="s" s="1">
        <v>2979</v>
      </c>
      <c r="H494" t="s" s="1">
        <v>1461</v>
      </c>
      <c r="I494" t="s" s="1">
        <v>2178</v>
      </c>
      <c r="J494" t="s" s="1">
        <v>2190</v>
      </c>
      <c r="K494" t="s" s="1">
        <v>467</v>
      </c>
      <c r="L494" t="s" s="1">
        <v>443</v>
      </c>
      <c r="M494" t="n" s="5">
        <v>13776.0</v>
      </c>
      <c r="N494" t="n" s="7">
        <v>44256.0</v>
      </c>
      <c r="O494" t="n" s="7">
        <v>44561.0</v>
      </c>
      <c r="P494" t="s" s="1">
        <v>3384</v>
      </c>
    </row>
    <row r="495" spans="1:16">
      <c r="A495" t="n" s="4">
        <v>491</v>
      </c>
      <c r="B495" s="2">
        <f>HYPERLINK("https://my.zakupki.prom.ua/remote/dispatcher/state_purchase_view/27821185", "UA-2021-06-29-004893-c")</f>
        <v/>
      </c>
      <c r="C495" t="s" s="2">
        <v>3102</v>
      </c>
      <c r="D495" s="2">
        <f>HYPERLINK("https://my.zakupki.prom.ua/remote/dispatcher/state_contracting_view/9484424", "UA-2021-06-29-004893-c-c1")</f>
        <v/>
      </c>
      <c r="E495" t="s" s="1">
        <v>1502</v>
      </c>
      <c r="F495" t="s" s="1">
        <v>2376</v>
      </c>
      <c r="G495" t="s" s="1">
        <v>2376</v>
      </c>
      <c r="H495" t="s" s="1">
        <v>535</v>
      </c>
      <c r="I495" t="s" s="1">
        <v>2178</v>
      </c>
      <c r="J495" t="s" s="1">
        <v>3285</v>
      </c>
      <c r="K495" t="s" s="1">
        <v>463</v>
      </c>
      <c r="L495" t="s" s="1">
        <v>573</v>
      </c>
      <c r="M495" t="n" s="5">
        <v>1320.0</v>
      </c>
      <c r="N495" t="n" s="7">
        <v>44376.0</v>
      </c>
      <c r="O495" t="n" s="7">
        <v>44561.0</v>
      </c>
      <c r="P495" t="s" s="1">
        <v>3384</v>
      </c>
    </row>
    <row r="496" spans="1:16">
      <c r="A496" t="n" s="4">
        <v>492</v>
      </c>
      <c r="B496" s="2">
        <f>HYPERLINK("https://my.zakupki.prom.ua/remote/dispatcher/state_purchase_view/29173633", "UA-2021-08-19-008413-a")</f>
        <v/>
      </c>
      <c r="C496" t="s" s="2">
        <v>3102</v>
      </c>
      <c r="D496" s="2">
        <f>HYPERLINK("https://my.zakupki.prom.ua/remote/dispatcher/state_contracting_view/10116914", "UA-2021-08-19-008413-a-a1")</f>
        <v/>
      </c>
      <c r="E496" t="s" s="1">
        <v>1364</v>
      </c>
      <c r="F496" t="s" s="1">
        <v>2710</v>
      </c>
      <c r="G496" t="s" s="1">
        <v>2710</v>
      </c>
      <c r="H496" t="s" s="1">
        <v>781</v>
      </c>
      <c r="I496" t="s" s="1">
        <v>2178</v>
      </c>
      <c r="J496" t="s" s="1">
        <v>3222</v>
      </c>
      <c r="K496" t="s" s="1">
        <v>519</v>
      </c>
      <c r="L496" t="s" s="1">
        <v>1369</v>
      </c>
      <c r="M496" t="n" s="5">
        <v>150.23</v>
      </c>
      <c r="N496" t="n" s="7">
        <v>44427.0</v>
      </c>
      <c r="O496" t="n" s="7">
        <v>44561.0</v>
      </c>
      <c r="P496" t="s" s="1">
        <v>3384</v>
      </c>
    </row>
    <row r="497" spans="1:16">
      <c r="A497" t="n" s="4">
        <v>493</v>
      </c>
      <c r="B497" s="2">
        <f>HYPERLINK("https://my.zakupki.prom.ua/remote/dispatcher/state_purchase_view/32319564", "UA-2021-11-29-001753-c")</f>
        <v/>
      </c>
      <c r="C497" t="s" s="2">
        <v>3102</v>
      </c>
      <c r="D497" s="2">
        <f>HYPERLINK("https://my.zakupki.prom.ua/remote/dispatcher/state_contracting_view/11566772", "UA-2021-11-29-001753-c-c1")</f>
        <v/>
      </c>
      <c r="E497" t="s" s="1">
        <v>2061</v>
      </c>
      <c r="F497" t="s" s="1">
        <v>2726</v>
      </c>
      <c r="G497" t="s" s="1">
        <v>2726</v>
      </c>
      <c r="H497" t="s" s="1">
        <v>796</v>
      </c>
      <c r="I497" t="s" s="1">
        <v>2178</v>
      </c>
      <c r="J497" t="s" s="1">
        <v>3138</v>
      </c>
      <c r="K497" t="s" s="1">
        <v>475</v>
      </c>
      <c r="L497" t="s" s="1">
        <v>1619</v>
      </c>
      <c r="M497" t="n" s="5">
        <v>3526.56</v>
      </c>
      <c r="N497" t="n" s="7">
        <v>44526.0</v>
      </c>
      <c r="O497" t="n" s="7">
        <v>44561.0</v>
      </c>
      <c r="P497" t="s" s="1">
        <v>3384</v>
      </c>
    </row>
    <row r="498" spans="1:16">
      <c r="A498" t="n" s="4">
        <v>494</v>
      </c>
      <c r="B498" s="2">
        <f>HYPERLINK("https://my.zakupki.prom.ua/remote/dispatcher/state_purchase_view/25208826", "UA-2021-03-24-007131-b")</f>
        <v/>
      </c>
      <c r="C498" t="s" s="2">
        <v>3102</v>
      </c>
      <c r="D498" s="2">
        <f>HYPERLINK("https://my.zakupki.prom.ua/remote/dispatcher/state_contracting_view/8248646", "UA-2021-03-24-007131-b-b1")</f>
        <v/>
      </c>
      <c r="E498" t="s" s="1">
        <v>2079</v>
      </c>
      <c r="F498" t="s" s="1">
        <v>2646</v>
      </c>
      <c r="G498" t="s" s="1">
        <v>2646</v>
      </c>
      <c r="H498" t="s" s="1">
        <v>774</v>
      </c>
      <c r="I498" t="s" s="1">
        <v>2178</v>
      </c>
      <c r="J498" t="s" s="1">
        <v>3131</v>
      </c>
      <c r="K498" t="s" s="1">
        <v>658</v>
      </c>
      <c r="L498" t="s" s="1">
        <v>468</v>
      </c>
      <c r="M498" t="n" s="5">
        <v>5850.0</v>
      </c>
      <c r="N498" t="n" s="7">
        <v>44279.0</v>
      </c>
      <c r="O498" t="n" s="7">
        <v>44561.0</v>
      </c>
      <c r="P498" t="s" s="1">
        <v>3384</v>
      </c>
    </row>
    <row r="499" spans="1:16">
      <c r="A499" t="n" s="4">
        <v>495</v>
      </c>
      <c r="B499" s="2">
        <f>HYPERLINK("https://my.zakupki.prom.ua/remote/dispatcher/state_purchase_view/25132017", "UA-2021-03-22-010465-c")</f>
        <v/>
      </c>
      <c r="C499" t="s" s="2">
        <v>3102</v>
      </c>
      <c r="D499" s="2">
        <f>HYPERLINK("https://my.zakupki.prom.ua/remote/dispatcher/state_contracting_view/8203969", "UA-2021-03-22-010465-c-c1")</f>
        <v/>
      </c>
      <c r="E499" t="s" s="1">
        <v>1339</v>
      </c>
      <c r="F499" t="s" s="1">
        <v>2618</v>
      </c>
      <c r="G499" t="s" s="1">
        <v>2618</v>
      </c>
      <c r="H499" t="s" s="1">
        <v>774</v>
      </c>
      <c r="I499" t="s" s="1">
        <v>2178</v>
      </c>
      <c r="J499" t="s" s="1">
        <v>3277</v>
      </c>
      <c r="K499" t="s" s="1">
        <v>519</v>
      </c>
      <c r="L499" t="s" s="1">
        <v>563</v>
      </c>
      <c r="M499" t="n" s="5">
        <v>63074.97</v>
      </c>
      <c r="N499" t="n" s="7">
        <v>44277.0</v>
      </c>
      <c r="O499" t="n" s="7">
        <v>44561.0</v>
      </c>
      <c r="P499" t="s" s="1">
        <v>3384</v>
      </c>
    </row>
    <row r="500" spans="1:16">
      <c r="A500" t="n" s="4">
        <v>496</v>
      </c>
      <c r="B500" s="2">
        <f>HYPERLINK("https://my.zakupki.prom.ua/remote/dispatcher/state_purchase_view/24746536", "UA-2021-03-10-006234-b")</f>
        <v/>
      </c>
      <c r="C500" t="s" s="2">
        <v>3102</v>
      </c>
      <c r="D500" s="2">
        <f>HYPERLINK("https://my.zakupki.prom.ua/remote/dispatcher/state_contracting_view/8021481", "UA-2021-03-10-006234-b-b1")</f>
        <v/>
      </c>
      <c r="E500" t="s" s="1">
        <v>1340</v>
      </c>
      <c r="F500" t="s" s="1">
        <v>2684</v>
      </c>
      <c r="G500" t="s" s="1">
        <v>3516</v>
      </c>
      <c r="H500" t="s" s="1">
        <v>774</v>
      </c>
      <c r="I500" t="s" s="1">
        <v>2178</v>
      </c>
      <c r="J500" t="s" s="1">
        <v>3277</v>
      </c>
      <c r="K500" t="s" s="1">
        <v>519</v>
      </c>
      <c r="L500" t="s" s="1">
        <v>280</v>
      </c>
      <c r="M500" t="n" s="5">
        <v>180655.41</v>
      </c>
      <c r="N500" t="n" s="7">
        <v>44265.0</v>
      </c>
      <c r="O500" t="n" s="7">
        <v>44561.0</v>
      </c>
      <c r="P500" t="s" s="1">
        <v>3384</v>
      </c>
    </row>
    <row r="501" spans="1:16">
      <c r="A501" t="n" s="4">
        <v>497</v>
      </c>
      <c r="B501" s="2">
        <f>HYPERLINK("https://my.zakupki.prom.ua/remote/dispatcher/state_purchase_view/24855159", "UA-2021-03-12-011173-b")</f>
        <v/>
      </c>
      <c r="C501" t="s" s="2">
        <v>3102</v>
      </c>
      <c r="D501" s="2">
        <f>HYPERLINK("https://my.zakupki.prom.ua/remote/dispatcher/state_contracting_view/8067036", "UA-2021-03-12-011173-b-b1")</f>
        <v/>
      </c>
      <c r="E501" t="s" s="1">
        <v>1776</v>
      </c>
      <c r="F501" t="s" s="1">
        <v>2692</v>
      </c>
      <c r="G501" t="s" s="1">
        <v>3523</v>
      </c>
      <c r="H501" t="s" s="1">
        <v>774</v>
      </c>
      <c r="I501" t="s" s="1">
        <v>2178</v>
      </c>
      <c r="J501" t="s" s="1">
        <v>3277</v>
      </c>
      <c r="K501" t="s" s="1">
        <v>519</v>
      </c>
      <c r="L501" t="s" s="1">
        <v>348</v>
      </c>
      <c r="M501" t="n" s="5">
        <v>49573.51</v>
      </c>
      <c r="N501" t="n" s="7">
        <v>44266.0</v>
      </c>
      <c r="O501" t="n" s="7">
        <v>44561.0</v>
      </c>
      <c r="P501" t="s" s="1">
        <v>3384</v>
      </c>
    </row>
    <row r="502" spans="1:16">
      <c r="A502" t="n" s="4">
        <v>498</v>
      </c>
      <c r="B502" s="2">
        <f>HYPERLINK("https://my.zakupki.prom.ua/remote/dispatcher/state_purchase_view/24577971", "UA-2021-03-03-010486-c")</f>
        <v/>
      </c>
      <c r="C502" t="s" s="2">
        <v>3102</v>
      </c>
      <c r="D502" s="2">
        <f>HYPERLINK("https://my.zakupki.prom.ua/remote/dispatcher/state_contracting_view/7939978", "UA-2021-03-03-010486-c-c1")</f>
        <v/>
      </c>
      <c r="E502" t="s" s="1">
        <v>1194</v>
      </c>
      <c r="F502" t="s" s="1">
        <v>2210</v>
      </c>
      <c r="G502" t="s" s="1">
        <v>2169</v>
      </c>
      <c r="H502" t="s" s="1">
        <v>774</v>
      </c>
      <c r="I502" t="s" s="1">
        <v>2178</v>
      </c>
      <c r="J502" t="s" s="1">
        <v>3285</v>
      </c>
      <c r="K502" t="s" s="1">
        <v>463</v>
      </c>
      <c r="L502" t="s" s="1">
        <v>200</v>
      </c>
      <c r="M502" t="n" s="5">
        <v>14396.0</v>
      </c>
      <c r="N502" t="n" s="7">
        <v>44256.0</v>
      </c>
      <c r="O502" t="n" s="7">
        <v>44561.0</v>
      </c>
      <c r="P502" t="s" s="1">
        <v>3384</v>
      </c>
    </row>
    <row r="503" spans="1:16">
      <c r="A503" t="n" s="4">
        <v>499</v>
      </c>
      <c r="B503" s="2">
        <f>HYPERLINK("https://my.zakupki.prom.ua/remote/dispatcher/state_purchase_view/24299628", "UA-2021-02-23-006321-b")</f>
        <v/>
      </c>
      <c r="C503" t="s" s="2">
        <v>3102</v>
      </c>
      <c r="D503" s="2">
        <f>HYPERLINK("https://my.zakupki.prom.ua/remote/dispatcher/state_contracting_view/7803185", "UA-2021-02-23-006321-b-b1")</f>
        <v/>
      </c>
      <c r="E503" t="s" s="1">
        <v>638</v>
      </c>
      <c r="F503" t="s" s="1">
        <v>2686</v>
      </c>
      <c r="G503" t="s" s="1">
        <v>3518</v>
      </c>
      <c r="H503" t="s" s="1">
        <v>774</v>
      </c>
      <c r="I503" t="s" s="1">
        <v>2178</v>
      </c>
      <c r="J503" t="s" s="1">
        <v>3277</v>
      </c>
      <c r="K503" t="s" s="1">
        <v>519</v>
      </c>
      <c r="L503" t="s" s="1">
        <v>177</v>
      </c>
      <c r="M503" t="n" s="5">
        <v>138255.8</v>
      </c>
      <c r="N503" t="n" s="7">
        <v>44249.0</v>
      </c>
      <c r="O503" t="n" s="7">
        <v>44561.0</v>
      </c>
      <c r="P503" t="s" s="1">
        <v>3384</v>
      </c>
    </row>
    <row r="504" spans="1:16">
      <c r="A504" t="n" s="4">
        <v>500</v>
      </c>
      <c r="B504" s="2">
        <f>HYPERLINK("https://my.zakupki.prom.ua/remote/dispatcher/state_purchase_view/32213413", "UA-2021-11-25-004986-a")</f>
        <v/>
      </c>
      <c r="C504" t="s" s="2">
        <v>3102</v>
      </c>
      <c r="D504" s="2">
        <f>HYPERLINK("https://my.zakupki.prom.ua/remote/dispatcher/state_contracting_view/11520112", "UA-2021-11-25-004986-a-a1")</f>
        <v/>
      </c>
      <c r="E504" t="s" s="1">
        <v>1673</v>
      </c>
      <c r="F504" t="s" s="1">
        <v>2701</v>
      </c>
      <c r="G504" t="s" s="1">
        <v>2701</v>
      </c>
      <c r="H504" t="s" s="1">
        <v>775</v>
      </c>
      <c r="I504" t="s" s="1">
        <v>2178</v>
      </c>
      <c r="J504" t="s" s="1">
        <v>3241</v>
      </c>
      <c r="K504" t="s" s="1">
        <v>996</v>
      </c>
      <c r="L504" t="s" s="1">
        <v>3055</v>
      </c>
      <c r="M504" t="n" s="5">
        <v>4250.0</v>
      </c>
      <c r="N504" t="n" s="7">
        <v>44525.0</v>
      </c>
      <c r="O504" t="n" s="7">
        <v>44561.0</v>
      </c>
      <c r="P504" t="s" s="1">
        <v>3384</v>
      </c>
    </row>
    <row r="505" spans="1:16">
      <c r="A505" t="n" s="4">
        <v>501</v>
      </c>
      <c r="B505" s="2">
        <f>HYPERLINK("https://my.zakupki.prom.ua/remote/dispatcher/state_purchase_view/33549498", "UA-2021-12-22-009546-c")</f>
        <v/>
      </c>
      <c r="C505" t="s" s="2">
        <v>3102</v>
      </c>
      <c r="D505" s="2">
        <f>HYPERLINK("https://my.zakupki.prom.ua/remote/dispatcher/state_contracting_view/12151442", "UA-2021-12-22-009546-c-c1")</f>
        <v/>
      </c>
      <c r="E505" t="s" s="1">
        <v>2049</v>
      </c>
      <c r="F505" t="s" s="1">
        <v>2205</v>
      </c>
      <c r="G505" t="s" s="1">
        <v>3116</v>
      </c>
      <c r="H505" t="s" s="1">
        <v>774</v>
      </c>
      <c r="I505" t="s" s="1">
        <v>2178</v>
      </c>
      <c r="J505" t="s" s="1">
        <v>3219</v>
      </c>
      <c r="K505" t="s" s="1">
        <v>519</v>
      </c>
      <c r="L505" t="s" s="1">
        <v>1660</v>
      </c>
      <c r="M505" t="n" s="5">
        <v>8358.0</v>
      </c>
      <c r="N505" t="n" s="7">
        <v>44552.0</v>
      </c>
      <c r="O505" t="n" s="7">
        <v>44561.0</v>
      </c>
      <c r="P505" t="s" s="1">
        <v>3384</v>
      </c>
    </row>
    <row r="506" spans="1:16">
      <c r="A506" t="n" s="4">
        <v>502</v>
      </c>
      <c r="B506" s="2">
        <f>HYPERLINK("https://my.zakupki.prom.ua/remote/dispatcher/state_purchase_view/32920460", "UA-2021-12-10-011849-c")</f>
        <v/>
      </c>
      <c r="C506" t="s" s="2">
        <v>3102</v>
      </c>
      <c r="D506" s="2">
        <f>HYPERLINK("https://my.zakupki.prom.ua/remote/dispatcher/state_contracting_view/11846150", "UA-2021-12-10-011849-c-c1")</f>
        <v/>
      </c>
      <c r="E506" t="s" s="1">
        <v>1939</v>
      </c>
      <c r="F506" t="s" s="1">
        <v>2588</v>
      </c>
      <c r="G506" t="s" s="1">
        <v>3169</v>
      </c>
      <c r="H506" t="s" s="1">
        <v>774</v>
      </c>
      <c r="I506" t="s" s="1">
        <v>2178</v>
      </c>
      <c r="J506" t="s" s="1">
        <v>3259</v>
      </c>
      <c r="K506" t="s" s="1">
        <v>776</v>
      </c>
      <c r="L506" t="s" s="1">
        <v>1639</v>
      </c>
      <c r="M506" t="n" s="5">
        <v>3190.0</v>
      </c>
      <c r="N506" t="n" s="7">
        <v>44538.0</v>
      </c>
      <c r="O506" t="n" s="7">
        <v>44561.0</v>
      </c>
      <c r="P506" t="s" s="1">
        <v>3384</v>
      </c>
    </row>
    <row r="507" spans="1:16">
      <c r="A507" t="n" s="4">
        <v>503</v>
      </c>
      <c r="B507" s="2">
        <f>HYPERLINK("https://my.zakupki.prom.ua/remote/dispatcher/state_purchase_view/32917947", "UA-2021-12-10-011163-c")</f>
        <v/>
      </c>
      <c r="C507" t="s" s="2">
        <v>3102</v>
      </c>
      <c r="D507" s="2">
        <f>HYPERLINK("https://my.zakupki.prom.ua/remote/dispatcher/state_contracting_view/11845196", "UA-2021-12-10-011163-c-c1")</f>
        <v/>
      </c>
      <c r="E507" t="s" s="1">
        <v>1553</v>
      </c>
      <c r="F507" t="s" s="1">
        <v>2589</v>
      </c>
      <c r="G507" t="s" s="1">
        <v>2589</v>
      </c>
      <c r="H507" t="s" s="1">
        <v>774</v>
      </c>
      <c r="I507" t="s" s="1">
        <v>2178</v>
      </c>
      <c r="J507" t="s" s="1">
        <v>3259</v>
      </c>
      <c r="K507" t="s" s="1">
        <v>776</v>
      </c>
      <c r="L507" t="s" s="1">
        <v>1638</v>
      </c>
      <c r="M507" t="n" s="5">
        <v>3748.0</v>
      </c>
      <c r="N507" t="n" s="7">
        <v>44538.0</v>
      </c>
      <c r="O507" t="n" s="7">
        <v>44561.0</v>
      </c>
      <c r="P507" t="s" s="1">
        <v>3384</v>
      </c>
    </row>
    <row r="508" spans="1:16">
      <c r="A508" t="n" s="4">
        <v>504</v>
      </c>
      <c r="B508" s="2">
        <f>HYPERLINK("https://my.zakupki.prom.ua/remote/dispatcher/state_purchase_view/32575172", "UA-2021-12-03-013726-c")</f>
        <v/>
      </c>
      <c r="C508" t="s" s="2">
        <v>3102</v>
      </c>
      <c r="D508" s="2">
        <f>HYPERLINK("https://my.zakupki.prom.ua/remote/dispatcher/state_contracting_view/11684619", "UA-2021-12-03-013726-c-c1")</f>
        <v/>
      </c>
      <c r="E508" t="s" s="1">
        <v>2038</v>
      </c>
      <c r="F508" t="s" s="1">
        <v>2206</v>
      </c>
      <c r="G508" t="s" s="1">
        <v>2206</v>
      </c>
      <c r="H508" t="s" s="1">
        <v>774</v>
      </c>
      <c r="I508" t="s" s="1">
        <v>2178</v>
      </c>
      <c r="J508" t="s" s="1">
        <v>3253</v>
      </c>
      <c r="K508" t="s" s="1">
        <v>1051</v>
      </c>
      <c r="L508" t="s" s="1">
        <v>1629</v>
      </c>
      <c r="M508" t="n" s="5">
        <v>4460.0</v>
      </c>
      <c r="N508" t="n" s="7">
        <v>44533.0</v>
      </c>
      <c r="O508" t="n" s="7">
        <v>44561.0</v>
      </c>
      <c r="P508" t="s" s="1">
        <v>3384</v>
      </c>
    </row>
    <row r="509" spans="1:16">
      <c r="A509" t="n" s="4">
        <v>505</v>
      </c>
      <c r="B509" s="2">
        <f>HYPERLINK("https://my.zakupki.prom.ua/remote/dispatcher/state_purchase_view/25828094", "UA-2021-04-14-010802-b")</f>
        <v/>
      </c>
      <c r="C509" t="s" s="2">
        <v>3102</v>
      </c>
      <c r="D509" s="2">
        <f>HYPERLINK("https://my.zakupki.prom.ua/remote/dispatcher/state_contracting_view/8531527", "UA-2021-04-14-010802-b-b1")</f>
        <v/>
      </c>
      <c r="E509" t="s" s="1">
        <v>1930</v>
      </c>
      <c r="F509" t="s" s="1">
        <v>2412</v>
      </c>
      <c r="G509" t="s" s="1">
        <v>2412</v>
      </c>
      <c r="H509" t="s" s="1">
        <v>659</v>
      </c>
      <c r="I509" t="s" s="1">
        <v>2178</v>
      </c>
      <c r="J509" t="s" s="1">
        <v>3305</v>
      </c>
      <c r="K509" t="s" s="1">
        <v>439</v>
      </c>
      <c r="L509" t="s" s="1">
        <v>1384</v>
      </c>
      <c r="M509" t="n" s="5">
        <v>4404.12</v>
      </c>
      <c r="N509" t="n" s="7">
        <v>44300.0</v>
      </c>
      <c r="O509" t="n" s="7">
        <v>44561.0</v>
      </c>
      <c r="P509" t="s" s="1">
        <v>3384</v>
      </c>
    </row>
    <row r="510" spans="1:16">
      <c r="A510" t="n" s="4">
        <v>506</v>
      </c>
      <c r="B510" s="2">
        <f>HYPERLINK("https://my.zakupki.prom.ua/remote/dispatcher/state_purchase_view/24872787", "UA-2021-03-15-002175-b")</f>
        <v/>
      </c>
      <c r="C510" t="s" s="2">
        <v>3102</v>
      </c>
      <c r="D510" s="2">
        <f>HYPERLINK("https://my.zakupki.prom.ua/remote/dispatcher/state_contracting_view/8085230", "UA-2021-03-15-002175-b-b1")</f>
        <v/>
      </c>
      <c r="E510" t="s" s="1">
        <v>1978</v>
      </c>
      <c r="F510" t="s" s="1">
        <v>2823</v>
      </c>
      <c r="G510" t="s" s="1">
        <v>2823</v>
      </c>
      <c r="H510" t="s" s="1">
        <v>1061</v>
      </c>
      <c r="I510" t="s" s="1">
        <v>2178</v>
      </c>
      <c r="J510" t="s" s="1">
        <v>3112</v>
      </c>
      <c r="K510" t="s" s="1">
        <v>802</v>
      </c>
      <c r="L510" t="s" s="1">
        <v>406</v>
      </c>
      <c r="M510" t="n" s="5">
        <v>6368.8</v>
      </c>
      <c r="N510" t="n" s="7">
        <v>44270.0</v>
      </c>
      <c r="O510" t="n" s="7">
        <v>44561.0</v>
      </c>
      <c r="P510" t="s" s="1">
        <v>3384</v>
      </c>
    </row>
    <row r="511" spans="1:16">
      <c r="A511" t="n" s="4">
        <v>507</v>
      </c>
      <c r="B511" s="2">
        <f>HYPERLINK("https://my.zakupki.prom.ua/remote/dispatcher/state_purchase_view/24790584", "UA-2021-03-11-005866-b")</f>
        <v/>
      </c>
      <c r="C511" t="s" s="2">
        <v>3102</v>
      </c>
      <c r="D511" s="2">
        <f>HYPERLINK("https://my.zakupki.prom.ua/remote/dispatcher/state_contracting_view/8045107", "UA-2021-03-11-005866-b-b1")</f>
        <v/>
      </c>
      <c r="E511" t="s" s="1">
        <v>614</v>
      </c>
      <c r="F511" t="s" s="1">
        <v>2731</v>
      </c>
      <c r="G511" t="s" s="1">
        <v>2731</v>
      </c>
      <c r="H511" t="s" s="1">
        <v>807</v>
      </c>
      <c r="I511" t="s" s="1">
        <v>2178</v>
      </c>
      <c r="J511" t="s" s="1">
        <v>3306</v>
      </c>
      <c r="K511" t="s" s="1">
        <v>996</v>
      </c>
      <c r="L511" t="s" s="1">
        <v>3065</v>
      </c>
      <c r="M511" t="n" s="5">
        <v>8010.0</v>
      </c>
      <c r="N511" t="n" s="7">
        <v>44266.0</v>
      </c>
      <c r="O511" t="n" s="7">
        <v>44561.0</v>
      </c>
      <c r="P511" t="s" s="1">
        <v>3384</v>
      </c>
    </row>
    <row r="512" spans="1:16">
      <c r="A512" t="n" s="4">
        <v>508</v>
      </c>
      <c r="B512" s="2">
        <f>HYPERLINK("https://my.zakupki.prom.ua/remote/dispatcher/state_purchase_view/25589511", "UA-2021-04-07-001202-a")</f>
        <v/>
      </c>
      <c r="C512" t="s" s="2">
        <v>3102</v>
      </c>
      <c r="D512" s="2">
        <f>HYPERLINK("https://my.zakupki.prom.ua/remote/dispatcher/state_contracting_view/8419427", "UA-2021-04-07-001202-a-a1")</f>
        <v/>
      </c>
      <c r="E512" t="s" s="1">
        <v>1681</v>
      </c>
      <c r="F512" t="s" s="1">
        <v>2259</v>
      </c>
      <c r="G512" t="s" s="1">
        <v>2259</v>
      </c>
      <c r="H512" t="s" s="1">
        <v>253</v>
      </c>
      <c r="I512" t="s" s="1">
        <v>2178</v>
      </c>
      <c r="J512" t="s" s="1">
        <v>3356</v>
      </c>
      <c r="K512" t="s" s="1">
        <v>814</v>
      </c>
      <c r="L512" t="s" s="1">
        <v>844</v>
      </c>
      <c r="M512" t="n" s="5">
        <v>4980.0</v>
      </c>
      <c r="N512" t="n" s="7">
        <v>44292.0</v>
      </c>
      <c r="O512" t="n" s="7">
        <v>44561.0</v>
      </c>
      <c r="P512" t="s" s="1">
        <v>3384</v>
      </c>
    </row>
    <row r="513" spans="1:16">
      <c r="A513" t="n" s="4">
        <v>509</v>
      </c>
      <c r="B513" s="2">
        <f>HYPERLINK("https://my.zakupki.prom.ua/remote/dispatcher/state_purchase_view/25588623", "UA-2021-04-07-000903-a")</f>
        <v/>
      </c>
      <c r="C513" t="s" s="2">
        <v>3102</v>
      </c>
      <c r="D513" s="2">
        <f>HYPERLINK("https://my.zakupki.prom.ua/remote/dispatcher/state_contracting_view/8419164", "UA-2021-04-07-000903-a-a1")</f>
        <v/>
      </c>
      <c r="E513" t="s" s="1">
        <v>1150</v>
      </c>
      <c r="F513" t="s" s="1">
        <v>265</v>
      </c>
      <c r="G513" t="s" s="1">
        <v>265</v>
      </c>
      <c r="H513" t="s" s="1">
        <v>264</v>
      </c>
      <c r="I513" t="s" s="1">
        <v>2178</v>
      </c>
      <c r="J513" t="s" s="1">
        <v>3356</v>
      </c>
      <c r="K513" t="s" s="1">
        <v>814</v>
      </c>
      <c r="L513" t="s" s="1">
        <v>832</v>
      </c>
      <c r="M513" t="n" s="5">
        <v>2100.0</v>
      </c>
      <c r="N513" t="n" s="7">
        <v>44291.0</v>
      </c>
      <c r="O513" t="n" s="7">
        <v>44561.0</v>
      </c>
      <c r="P513" t="s" s="1">
        <v>3384</v>
      </c>
    </row>
    <row r="514" spans="1:16">
      <c r="A514" t="n" s="4">
        <v>510</v>
      </c>
      <c r="B514" s="2">
        <f>HYPERLINK("https://my.zakupki.prom.ua/remote/dispatcher/state_purchase_view/25634460", "UA-2021-04-08-002014-b")</f>
        <v/>
      </c>
      <c r="C514" t="s" s="2">
        <v>3102</v>
      </c>
      <c r="D514" s="2">
        <f>HYPERLINK("https://my.zakupki.prom.ua/remote/dispatcher/state_contracting_view/8443050", "UA-2021-04-08-002014-b-b1")</f>
        <v/>
      </c>
      <c r="E514" t="s" s="1">
        <v>157</v>
      </c>
      <c r="F514" t="s" s="1">
        <v>2783</v>
      </c>
      <c r="G514" t="s" s="1">
        <v>2783</v>
      </c>
      <c r="H514" t="s" s="1">
        <v>934</v>
      </c>
      <c r="I514" t="s" s="1">
        <v>2178</v>
      </c>
      <c r="J514" t="s" s="1">
        <v>3112</v>
      </c>
      <c r="K514" t="s" s="1">
        <v>802</v>
      </c>
      <c r="L514" t="s" s="1">
        <v>238</v>
      </c>
      <c r="M514" t="n" s="5">
        <v>550.0</v>
      </c>
      <c r="N514" t="n" s="7">
        <v>44294.0</v>
      </c>
      <c r="O514" t="n" s="7">
        <v>44561.0</v>
      </c>
      <c r="P514" t="s" s="1">
        <v>3384</v>
      </c>
    </row>
    <row r="515" spans="1:16">
      <c r="A515" t="n" s="4">
        <v>511</v>
      </c>
      <c r="B515" s="2">
        <f>HYPERLINK("https://my.zakupki.prom.ua/remote/dispatcher/state_purchase_view/25533809", "UA-2021-04-05-005497-c")</f>
        <v/>
      </c>
      <c r="C515" t="s" s="2">
        <v>3102</v>
      </c>
      <c r="D515" s="2">
        <f>HYPERLINK("https://my.zakupki.prom.ua/remote/dispatcher/state_contracting_view/8392112", "UA-2021-04-05-005497-c-c1")</f>
        <v/>
      </c>
      <c r="E515" t="s" s="1">
        <v>41</v>
      </c>
      <c r="F515" t="s" s="1">
        <v>2524</v>
      </c>
      <c r="G515" t="s" s="1">
        <v>3476</v>
      </c>
      <c r="H515" t="s" s="1">
        <v>759</v>
      </c>
      <c r="I515" t="s" s="1">
        <v>2178</v>
      </c>
      <c r="J515" t="s" s="1">
        <v>3258</v>
      </c>
      <c r="K515" t="s" s="1">
        <v>776</v>
      </c>
      <c r="L515" t="s" s="1">
        <v>184</v>
      </c>
      <c r="M515" t="n" s="5">
        <v>51600.0</v>
      </c>
      <c r="N515" t="n" s="7">
        <v>44291.0</v>
      </c>
      <c r="O515" t="n" s="7">
        <v>44561.0</v>
      </c>
      <c r="P515" t="s" s="1">
        <v>3384</v>
      </c>
    </row>
    <row r="516" spans="1:16">
      <c r="A516" t="n" s="4">
        <v>512</v>
      </c>
      <c r="B516" s="2">
        <f>HYPERLINK("https://my.zakupki.prom.ua/remote/dispatcher/state_purchase_view/28549586", "UA-2021-07-27-008252-b")</f>
        <v/>
      </c>
      <c r="C516" t="s" s="2">
        <v>3102</v>
      </c>
      <c r="D516" s="2">
        <f>HYPERLINK("https://my.zakupki.prom.ua/remote/dispatcher/state_contracting_view/9826706", "UA-2021-07-27-008252-b-b1")</f>
        <v/>
      </c>
      <c r="E516" t="s" s="1">
        <v>1201</v>
      </c>
      <c r="F516" t="s" s="1">
        <v>2352</v>
      </c>
      <c r="G516" t="s" s="1">
        <v>2352</v>
      </c>
      <c r="H516" t="s" s="1">
        <v>496</v>
      </c>
      <c r="I516" t="s" s="1">
        <v>2178</v>
      </c>
      <c r="J516" t="s" s="1">
        <v>2163</v>
      </c>
      <c r="K516" t="s" s="1">
        <v>724</v>
      </c>
      <c r="L516" t="s" s="1">
        <v>289</v>
      </c>
      <c r="M516" t="n" s="5">
        <v>7395.0</v>
      </c>
      <c r="N516" t="n" s="7">
        <v>44403.0</v>
      </c>
      <c r="O516" t="n" s="7">
        <v>44561.0</v>
      </c>
      <c r="P516" t="s" s="1">
        <v>3384</v>
      </c>
    </row>
    <row r="517" spans="1:16">
      <c r="A517" t="n" s="4">
        <v>513</v>
      </c>
      <c r="B517" s="2">
        <f>HYPERLINK("https://my.zakupki.prom.ua/remote/dispatcher/state_purchase_view/30291059", "UA-2021-09-28-002795-b")</f>
        <v/>
      </c>
      <c r="C517" t="s" s="2">
        <v>3102</v>
      </c>
      <c r="D517" s="2">
        <f>HYPERLINK("https://my.zakupki.prom.ua/remote/dispatcher/state_contracting_view/10634693", "UA-2021-09-28-002795-b-b1")</f>
        <v/>
      </c>
      <c r="E517" t="s" s="1">
        <v>75</v>
      </c>
      <c r="F517" t="s" s="1">
        <v>2396</v>
      </c>
      <c r="G517" t="s" s="1">
        <v>2396</v>
      </c>
      <c r="H517" t="s" s="1">
        <v>548</v>
      </c>
      <c r="I517" t="s" s="1">
        <v>2178</v>
      </c>
      <c r="J517" t="s" s="1">
        <v>2141</v>
      </c>
      <c r="K517" t="s" s="1">
        <v>438</v>
      </c>
      <c r="L517" t="s" s="1">
        <v>1491</v>
      </c>
      <c r="M517" t="n" s="5">
        <v>825.0</v>
      </c>
      <c r="N517" t="n" s="7">
        <v>44467.0</v>
      </c>
      <c r="O517" t="n" s="7">
        <v>44561.0</v>
      </c>
      <c r="P517" t="s" s="1">
        <v>3384</v>
      </c>
    </row>
    <row r="518" spans="1:16">
      <c r="A518" t="n" s="4">
        <v>514</v>
      </c>
      <c r="B518" s="2">
        <f>HYPERLINK("https://my.zakupki.prom.ua/remote/dispatcher/state_purchase_view/29623114", "UA-2021-09-07-010359-c")</f>
        <v/>
      </c>
      <c r="C518" t="s" s="2">
        <v>3102</v>
      </c>
      <c r="D518" s="2">
        <f>HYPERLINK("https://my.zakupki.prom.ua/remote/dispatcher/state_contracting_view/10326976", "UA-2021-09-07-010359-c-c1")</f>
        <v/>
      </c>
      <c r="E518" t="s" s="1">
        <v>1608</v>
      </c>
      <c r="F518" t="s" s="1">
        <v>2491</v>
      </c>
      <c r="G518" t="s" s="1">
        <v>2491</v>
      </c>
      <c r="H518" t="s" s="1">
        <v>758</v>
      </c>
      <c r="I518" t="s" s="1">
        <v>2178</v>
      </c>
      <c r="J518" t="s" s="1">
        <v>3290</v>
      </c>
      <c r="K518" t="s" s="1">
        <v>1024</v>
      </c>
      <c r="L518" t="s" s="1">
        <v>1433</v>
      </c>
      <c r="M518" t="n" s="5">
        <v>96000.0</v>
      </c>
      <c r="N518" t="n" s="7">
        <v>44446.0</v>
      </c>
      <c r="O518" t="n" s="7">
        <v>44561.0</v>
      </c>
      <c r="P518" t="s" s="1">
        <v>3384</v>
      </c>
    </row>
    <row r="519" spans="1:16">
      <c r="A519" t="n" s="4">
        <v>515</v>
      </c>
      <c r="B519" s="2">
        <f>HYPERLINK("https://my.zakupki.prom.ua/remote/dispatcher/state_purchase_view/29968635", "UA-2021-09-17-005757-b")</f>
        <v/>
      </c>
      <c r="C519" t="s" s="2">
        <v>3102</v>
      </c>
      <c r="D519" s="2">
        <f>HYPERLINK("https://my.zakupki.prom.ua/remote/dispatcher/state_contracting_view/10485932", "UA-2021-09-17-005757-b-b1")</f>
        <v/>
      </c>
      <c r="E519" t="s" s="1">
        <v>2026</v>
      </c>
      <c r="F519" t="s" s="1">
        <v>2368</v>
      </c>
      <c r="G519" t="s" s="1">
        <v>2368</v>
      </c>
      <c r="H519" t="s" s="1">
        <v>529</v>
      </c>
      <c r="I519" t="s" s="1">
        <v>2178</v>
      </c>
      <c r="J519" t="s" s="1">
        <v>2122</v>
      </c>
      <c r="K519" t="s" s="1">
        <v>74</v>
      </c>
      <c r="L519" t="s" s="1">
        <v>328</v>
      </c>
      <c r="M519" t="n" s="5">
        <v>2500200.0</v>
      </c>
      <c r="N519" t="n" s="7">
        <v>44456.0</v>
      </c>
      <c r="O519" t="n" s="7">
        <v>44561.0</v>
      </c>
      <c r="P519" t="s" s="1">
        <v>3384</v>
      </c>
    </row>
    <row r="520" spans="1:16">
      <c r="A520" t="n" s="4">
        <v>516</v>
      </c>
      <c r="B520" s="2">
        <f>HYPERLINK("https://my.zakupki.prom.ua/remote/dispatcher/state_purchase_view/30152249", "UA-2021-09-23-003733-b")</f>
        <v/>
      </c>
      <c r="C520" t="s" s="2">
        <v>3102</v>
      </c>
      <c r="D520" s="2">
        <f>HYPERLINK("https://my.zakupki.prom.ua/remote/dispatcher/state_contracting_view/10570405", "UA-2021-09-23-003733-b-b1")</f>
        <v/>
      </c>
      <c r="E520" t="s" s="1">
        <v>1965</v>
      </c>
      <c r="F520" t="s" s="1">
        <v>2321</v>
      </c>
      <c r="G520" t="s" s="1">
        <v>2321</v>
      </c>
      <c r="H520" t="s" s="1">
        <v>302</v>
      </c>
      <c r="I520" t="s" s="1">
        <v>2178</v>
      </c>
      <c r="J520" t="s" s="1">
        <v>3113</v>
      </c>
      <c r="K520" t="s" s="1">
        <v>816</v>
      </c>
      <c r="L520" t="s" s="1">
        <v>1312</v>
      </c>
      <c r="M520" t="n" s="5">
        <v>165.0</v>
      </c>
      <c r="N520" t="n" s="7">
        <v>44462.0</v>
      </c>
      <c r="O520" t="n" s="7">
        <v>44561.0</v>
      </c>
      <c r="P520" t="s" s="1">
        <v>3384</v>
      </c>
    </row>
    <row r="521" spans="1:16">
      <c r="A521" t="n" s="4">
        <v>517</v>
      </c>
      <c r="B521" s="2">
        <f>HYPERLINK("https://my.zakupki.prom.ua/remote/dispatcher/state_purchase_view/23878513", "UA-2021-02-10-010694-a")</f>
        <v/>
      </c>
      <c r="C521" t="s" s="2">
        <v>3102</v>
      </c>
      <c r="D521" s="2">
        <f>HYPERLINK("https://my.zakupki.prom.ua/remote/dispatcher/state_contracting_view/7679560", "UA-2021-02-10-010694-a-a1")</f>
        <v/>
      </c>
      <c r="E521" t="s" s="1">
        <v>1052</v>
      </c>
      <c r="F521" t="s" s="1">
        <v>2941</v>
      </c>
      <c r="G521" t="s" s="1">
        <v>2941</v>
      </c>
      <c r="H521" t="s" s="1">
        <v>1359</v>
      </c>
      <c r="I521" t="s" s="1">
        <v>3143</v>
      </c>
      <c r="J521" t="s" s="1">
        <v>3121</v>
      </c>
      <c r="K521" t="s" s="1">
        <v>8</v>
      </c>
      <c r="L521" t="s" s="1">
        <v>134</v>
      </c>
      <c r="M521" t="n" s="5">
        <v>189209.5</v>
      </c>
      <c r="N521" t="n" s="7">
        <v>44243.0</v>
      </c>
      <c r="O521" t="n" s="7">
        <v>44561.0</v>
      </c>
      <c r="P521" t="s" s="1">
        <v>3384</v>
      </c>
    </row>
    <row r="522" spans="1:16">
      <c r="A522" t="n" s="4">
        <v>518</v>
      </c>
      <c r="B522" s="2">
        <f>HYPERLINK("https://my.zakupki.prom.ua/remote/dispatcher/state_purchase_view/24939550", "UA-2021-03-16-007286-c")</f>
        <v/>
      </c>
      <c r="C522" t="s" s="2">
        <v>3102</v>
      </c>
      <c r="D522" s="2">
        <f>HYPERLINK("https://my.zakupki.prom.ua/remote/dispatcher/state_contracting_view/8582822", "UA-2021-03-16-007286-c-c1")</f>
        <v/>
      </c>
      <c r="E522" t="s" s="1">
        <v>82</v>
      </c>
      <c r="F522" t="s" s="1">
        <v>2211</v>
      </c>
      <c r="G522" t="s" s="1">
        <v>2172</v>
      </c>
      <c r="H522" t="s" s="1">
        <v>777</v>
      </c>
      <c r="I522" t="s" s="1">
        <v>2142</v>
      </c>
      <c r="J522" t="s" s="1">
        <v>3204</v>
      </c>
      <c r="K522" t="s" s="1">
        <v>879</v>
      </c>
      <c r="L522" t="s" s="1">
        <v>374</v>
      </c>
      <c r="M522" t="n" s="5">
        <v>198857.36</v>
      </c>
      <c r="N522" t="n" s="7">
        <v>44305.0</v>
      </c>
      <c r="O522" t="n" s="7">
        <v>44561.0</v>
      </c>
      <c r="P522" t="s" s="1">
        <v>3384</v>
      </c>
    </row>
    <row r="523" spans="1:16">
      <c r="A523" t="n" s="4">
        <v>519</v>
      </c>
      <c r="B523" s="2">
        <f>HYPERLINK("https://my.zakupki.prom.ua/remote/dispatcher/state_purchase_view/32485827", "UA-2021-12-02-005328-c")</f>
        <v/>
      </c>
      <c r="C523" t="s" s="2">
        <v>3102</v>
      </c>
      <c r="D523" s="2">
        <f>HYPERLINK("https://my.zakupki.prom.ua/remote/dispatcher/state_contracting_view/11644451", "UA-2021-12-02-005328-c-c1")</f>
        <v/>
      </c>
      <c r="E523" t="s" s="1">
        <v>1482</v>
      </c>
      <c r="F523" t="s" s="1">
        <v>2313</v>
      </c>
      <c r="G523" t="s" s="1">
        <v>2313</v>
      </c>
      <c r="H523" t="s" s="1">
        <v>279</v>
      </c>
      <c r="I523" t="s" s="1">
        <v>2178</v>
      </c>
      <c r="J523" t="s" s="1">
        <v>3356</v>
      </c>
      <c r="K523" t="s" s="1">
        <v>814</v>
      </c>
      <c r="L523" t="s" s="1">
        <v>1624</v>
      </c>
      <c r="M523" t="n" s="5">
        <v>9100.0</v>
      </c>
      <c r="N523" t="n" s="7">
        <v>44532.0</v>
      </c>
      <c r="O523" t="n" s="7">
        <v>44561.0</v>
      </c>
      <c r="P523" t="s" s="1">
        <v>3384</v>
      </c>
    </row>
    <row r="524" spans="1:16">
      <c r="A524" t="n" s="4">
        <v>520</v>
      </c>
      <c r="B524" s="2">
        <f>HYPERLINK("https://my.zakupki.prom.ua/remote/dispatcher/state_purchase_view/31885483", "UA-2021-11-17-006333-a")</f>
        <v/>
      </c>
      <c r="C524" t="s" s="2">
        <v>3102</v>
      </c>
      <c r="D524" s="2">
        <f>HYPERLINK("https://my.zakupki.prom.ua/remote/dispatcher/state_contracting_view/11367331", "UA-2021-11-17-006333-a-a1")</f>
        <v/>
      </c>
      <c r="E524" t="s" s="1">
        <v>1424</v>
      </c>
      <c r="F524" t="s" s="1">
        <v>2349</v>
      </c>
      <c r="G524" t="s" s="1">
        <v>2349</v>
      </c>
      <c r="H524" t="s" s="1">
        <v>486</v>
      </c>
      <c r="I524" t="s" s="1">
        <v>2178</v>
      </c>
      <c r="J524" t="s" s="1">
        <v>2144</v>
      </c>
      <c r="K524" t="s" s="1">
        <v>428</v>
      </c>
      <c r="L524" t="s" s="1">
        <v>1588</v>
      </c>
      <c r="M524" t="n" s="5">
        <v>3300.0</v>
      </c>
      <c r="N524" t="n" s="7">
        <v>44517.0</v>
      </c>
      <c r="O524" t="n" s="7">
        <v>44561.0</v>
      </c>
      <c r="P524" t="s" s="1">
        <v>3384</v>
      </c>
    </row>
    <row r="525" spans="1:16">
      <c r="A525" t="n" s="4">
        <v>521</v>
      </c>
      <c r="B525" s="2">
        <f>HYPERLINK("https://my.zakupki.prom.ua/remote/dispatcher/state_purchase_view/27737103", "UA-2021-06-24-004096-c")</f>
        <v/>
      </c>
      <c r="C525" t="s" s="2">
        <v>3102</v>
      </c>
      <c r="D525" s="2">
        <f>HYPERLINK("https://my.zakupki.prom.ua/remote/dispatcher/state_contracting_view/9441588", "UA-2021-06-24-004096-c-c1")</f>
        <v/>
      </c>
      <c r="E525" t="s" s="1">
        <v>2040</v>
      </c>
      <c r="F525" t="s" s="1">
        <v>2466</v>
      </c>
      <c r="G525" t="s" s="1">
        <v>3534</v>
      </c>
      <c r="H525" t="s" s="1">
        <v>712</v>
      </c>
      <c r="I525" t="s" s="1">
        <v>2178</v>
      </c>
      <c r="J525" t="s" s="1">
        <v>2146</v>
      </c>
      <c r="K525" t="s" s="1">
        <v>616</v>
      </c>
      <c r="L525" t="s" s="1">
        <v>1276</v>
      </c>
      <c r="M525" t="n" s="5">
        <v>9219.6</v>
      </c>
      <c r="N525" t="n" s="7">
        <v>44371.0</v>
      </c>
      <c r="O525" t="n" s="7">
        <v>44561.0</v>
      </c>
      <c r="P525" t="s" s="1">
        <v>3384</v>
      </c>
    </row>
    <row r="526" spans="1:16">
      <c r="A526" t="n" s="4">
        <v>522</v>
      </c>
      <c r="B526" s="2">
        <f>HYPERLINK("https://my.zakupki.prom.ua/remote/dispatcher/state_purchase_view/26232688", "UA-2021-04-28-004246-a")</f>
        <v/>
      </c>
      <c r="C526" t="s" s="2">
        <v>3102</v>
      </c>
      <c r="D526" s="2">
        <f>HYPERLINK("https://my.zakupki.prom.ua/remote/dispatcher/state_contracting_view/8734041", "UA-2021-04-28-004246-a-a1")</f>
        <v/>
      </c>
      <c r="E526" t="s" s="1">
        <v>1680</v>
      </c>
      <c r="F526" t="s" s="1">
        <v>2865</v>
      </c>
      <c r="G526" t="s" s="1">
        <v>2865</v>
      </c>
      <c r="H526" t="s" s="1">
        <v>1076</v>
      </c>
      <c r="I526" t="s" s="1">
        <v>2178</v>
      </c>
      <c r="J526" t="s" s="1">
        <v>3309</v>
      </c>
      <c r="K526" t="s" s="1">
        <v>611</v>
      </c>
      <c r="L526" t="s" s="1">
        <v>116</v>
      </c>
      <c r="M526" t="n" s="5">
        <v>1270.0</v>
      </c>
      <c r="N526" t="n" s="7">
        <v>44314.0</v>
      </c>
      <c r="O526" t="n" s="7">
        <v>44561.0</v>
      </c>
      <c r="P526" t="s" s="1">
        <v>3384</v>
      </c>
    </row>
    <row r="527" spans="1:16">
      <c r="A527" t="n" s="4">
        <v>523</v>
      </c>
      <c r="B527" s="2">
        <f>HYPERLINK("https://my.zakupki.prom.ua/remote/dispatcher/state_purchase_view/26101070", "UA-2021-04-23-004000-b")</f>
        <v/>
      </c>
      <c r="C527" t="s" s="2">
        <v>3102</v>
      </c>
      <c r="D527" s="2">
        <f>HYPERLINK("https://my.zakupki.prom.ua/remote/dispatcher/state_contracting_view/8661614", "UA-2021-04-23-004000-b-b1")</f>
        <v/>
      </c>
      <c r="E527" t="s" s="1">
        <v>1911</v>
      </c>
      <c r="F527" t="s" s="1">
        <v>2934</v>
      </c>
      <c r="G527" t="s" s="1">
        <v>2934</v>
      </c>
      <c r="H527" t="s" s="1">
        <v>1318</v>
      </c>
      <c r="I527" t="s" s="1">
        <v>2178</v>
      </c>
      <c r="J527" t="s" s="1">
        <v>3269</v>
      </c>
      <c r="K527" t="s" s="1">
        <v>738</v>
      </c>
      <c r="L527" t="s" s="1">
        <v>21</v>
      </c>
      <c r="M527" t="n" s="5">
        <v>4000.0</v>
      </c>
      <c r="N527" t="n" s="7">
        <v>44308.0</v>
      </c>
      <c r="O527" t="n" s="7">
        <v>44561.0</v>
      </c>
      <c r="P527" t="s" s="1">
        <v>3384</v>
      </c>
    </row>
    <row r="528" spans="1:16">
      <c r="A528" t="n" s="4">
        <v>524</v>
      </c>
      <c r="B528" s="2">
        <f>HYPERLINK("https://my.zakupki.prom.ua/remote/dispatcher/state_purchase_view/26088762", "UA-2021-04-23-001073-a")</f>
        <v/>
      </c>
      <c r="C528" t="s" s="2">
        <v>3102</v>
      </c>
      <c r="D528" s="2">
        <f>HYPERLINK("https://my.zakupki.prom.ua/remote/dispatcher/state_contracting_view/8655787", "UA-2021-04-23-001073-a-a1")</f>
        <v/>
      </c>
      <c r="E528" t="s" s="1">
        <v>1999</v>
      </c>
      <c r="F528" t="s" s="1">
        <v>2717</v>
      </c>
      <c r="G528" t="s" s="1">
        <v>3458</v>
      </c>
      <c r="H528" t="s" s="1">
        <v>784</v>
      </c>
      <c r="I528" t="s" s="1">
        <v>2178</v>
      </c>
      <c r="J528" t="s" s="1">
        <v>3277</v>
      </c>
      <c r="K528" t="s" s="1">
        <v>519</v>
      </c>
      <c r="L528" t="s" s="1">
        <v>1043</v>
      </c>
      <c r="M528" t="n" s="5">
        <v>12106.41</v>
      </c>
      <c r="N528" t="n" s="7">
        <v>44308.0</v>
      </c>
      <c r="O528" t="n" s="7">
        <v>44561.0</v>
      </c>
      <c r="P528" t="s" s="1">
        <v>3384</v>
      </c>
    </row>
    <row r="529" spans="1:16">
      <c r="A529" t="n" s="4">
        <v>525</v>
      </c>
      <c r="B529" s="2">
        <f>HYPERLINK("https://my.zakupki.prom.ua/remote/dispatcher/state_purchase_view/33853230", "UA-2021-12-29-010874-c")</f>
        <v/>
      </c>
      <c r="C529" t="s" s="2">
        <v>3102</v>
      </c>
      <c r="D529" s="2">
        <f>HYPERLINK("https://my.zakupki.prom.ua/remote/dispatcher/state_contracting_view/12302718", "UA-2021-12-29-010874-c-c1")</f>
        <v/>
      </c>
      <c r="E529" t="s" s="1">
        <v>1942</v>
      </c>
      <c r="F529" t="s" s="1">
        <v>2913</v>
      </c>
      <c r="G529" t="s" s="1">
        <v>2913</v>
      </c>
      <c r="H529" t="s" s="1">
        <v>1173</v>
      </c>
      <c r="I529" t="s" s="1">
        <v>2178</v>
      </c>
      <c r="J529" t="s" s="1">
        <v>3090</v>
      </c>
      <c r="K529" t="s" s="1">
        <v>654</v>
      </c>
      <c r="L529" t="s" s="1">
        <v>1678</v>
      </c>
      <c r="M529" t="n" s="5">
        <v>1140.0</v>
      </c>
      <c r="N529" t="n" s="7">
        <v>44559.0</v>
      </c>
      <c r="O529" t="n" s="7">
        <v>44561.0</v>
      </c>
      <c r="P529" t="s" s="1">
        <v>3384</v>
      </c>
    </row>
    <row r="530" spans="1:16">
      <c r="A530" t="n" s="4">
        <v>526</v>
      </c>
      <c r="B530" s="2">
        <f>HYPERLINK("https://my.zakupki.prom.ua/remote/dispatcher/state_purchase_view/24085856", "UA-2021-02-17-001185-a")</f>
        <v/>
      </c>
      <c r="C530" t="s" s="2">
        <v>3102</v>
      </c>
      <c r="D530" s="2">
        <f>HYPERLINK("https://my.zakupki.prom.ua/remote/dispatcher/state_contracting_view/7713012", "UA-2021-02-17-001185-a-a1")</f>
        <v/>
      </c>
      <c r="E530" t="s" s="1">
        <v>637</v>
      </c>
      <c r="F530" t="s" s="1">
        <v>2358</v>
      </c>
      <c r="G530" t="s" s="1">
        <v>3382</v>
      </c>
      <c r="H530" t="s" s="1">
        <v>496</v>
      </c>
      <c r="I530" t="s" s="1">
        <v>2178</v>
      </c>
      <c r="J530" t="s" s="1">
        <v>2153</v>
      </c>
      <c r="K530" t="s" s="1">
        <v>817</v>
      </c>
      <c r="L530" t="s" s="1">
        <v>138</v>
      </c>
      <c r="M530" t="n" s="5">
        <v>315.0</v>
      </c>
      <c r="N530" t="n" s="7">
        <v>44243.0</v>
      </c>
      <c r="O530" t="n" s="7">
        <v>44561.0</v>
      </c>
      <c r="P530" t="s" s="1">
        <v>3384</v>
      </c>
    </row>
    <row r="531" spans="1:16">
      <c r="A531" t="n" s="4">
        <v>527</v>
      </c>
      <c r="B531" s="2">
        <f>HYPERLINK("https://my.zakupki.prom.ua/remote/dispatcher/state_purchase_view/25633537", "UA-2021-04-08-001784-b")</f>
        <v/>
      </c>
      <c r="C531" t="s" s="2">
        <v>3102</v>
      </c>
      <c r="D531" s="2">
        <f>HYPERLINK("https://my.zakupki.prom.ua/remote/dispatcher/state_contracting_view/8442988", "UA-2021-04-08-001784-b-b1")</f>
        <v/>
      </c>
      <c r="E531" t="s" s="1">
        <v>629</v>
      </c>
      <c r="F531" t="s" s="1">
        <v>2858</v>
      </c>
      <c r="G531" t="s" s="1">
        <v>2858</v>
      </c>
      <c r="H531" t="s" s="1">
        <v>1075</v>
      </c>
      <c r="I531" t="s" s="1">
        <v>2178</v>
      </c>
      <c r="J531" t="s" s="1">
        <v>3112</v>
      </c>
      <c r="K531" t="s" s="1">
        <v>802</v>
      </c>
      <c r="L531" t="s" s="1">
        <v>188</v>
      </c>
      <c r="M531" t="n" s="5">
        <v>977.45</v>
      </c>
      <c r="N531" t="n" s="7">
        <v>44294.0</v>
      </c>
      <c r="O531" t="n" s="7">
        <v>44561.0</v>
      </c>
      <c r="P531" t="s" s="1">
        <v>3384</v>
      </c>
    </row>
    <row r="532" spans="1:16">
      <c r="A532" t="n" s="4">
        <v>528</v>
      </c>
      <c r="B532" s="2">
        <f>HYPERLINK("https://my.zakupki.prom.ua/remote/dispatcher/state_purchase_view/25577425", "UA-2021-04-06-006167-a")</f>
        <v/>
      </c>
      <c r="C532" t="s" s="2">
        <v>3102</v>
      </c>
      <c r="D532" s="2">
        <f>HYPERLINK("https://my.zakupki.prom.ua/remote/dispatcher/state_contracting_view/8810105", "UA-2021-04-06-006167-a-a1")</f>
        <v/>
      </c>
      <c r="E532" t="s" s="1">
        <v>1799</v>
      </c>
      <c r="F532" t="s" s="1">
        <v>2248</v>
      </c>
      <c r="G532" t="s" s="1">
        <v>3445</v>
      </c>
      <c r="H532" t="s" s="1">
        <v>245</v>
      </c>
      <c r="I532" t="s" s="1">
        <v>2142</v>
      </c>
      <c r="J532" t="s" s="1">
        <v>3344</v>
      </c>
      <c r="K532" t="s" s="1">
        <v>680</v>
      </c>
      <c r="L532" t="s" s="1">
        <v>1190</v>
      </c>
      <c r="M532" t="n" s="5">
        <v>714400.0</v>
      </c>
      <c r="N532" t="n" s="7">
        <v>44327.0</v>
      </c>
      <c r="O532" t="n" s="7">
        <v>44561.0</v>
      </c>
      <c r="P532" t="s" s="1">
        <v>3384</v>
      </c>
    </row>
    <row r="533" spans="1:16">
      <c r="A533" t="n" s="4">
        <v>529</v>
      </c>
      <c r="B533" s="2">
        <f>HYPERLINK("https://my.zakupki.prom.ua/remote/dispatcher/state_purchase_view/26110336", "UA-2021-04-23-004040-a")</f>
        <v/>
      </c>
      <c r="C533" t="s" s="2">
        <v>3102</v>
      </c>
      <c r="D533" s="2">
        <f>HYPERLINK("https://my.zakupki.prom.ua/remote/dispatcher/state_contracting_view/8666452", "UA-2021-04-23-004040-a-a1")</f>
        <v/>
      </c>
      <c r="E533" t="s" s="1">
        <v>2031</v>
      </c>
      <c r="F533" t="s" s="1">
        <v>2726</v>
      </c>
      <c r="G533" t="s" s="1">
        <v>2726</v>
      </c>
      <c r="H533" t="s" s="1">
        <v>796</v>
      </c>
      <c r="I533" t="s" s="1">
        <v>2178</v>
      </c>
      <c r="J533" t="s" s="1">
        <v>3249</v>
      </c>
      <c r="K533" t="s" s="1">
        <v>204</v>
      </c>
      <c r="L533" t="s" s="1">
        <v>1066</v>
      </c>
      <c r="M533" t="n" s="5">
        <v>5248.39</v>
      </c>
      <c r="N533" t="n" s="7">
        <v>44308.0</v>
      </c>
      <c r="O533" t="n" s="7">
        <v>44561.0</v>
      </c>
      <c r="P533" t="s" s="1">
        <v>3384</v>
      </c>
    </row>
    <row r="534" spans="1:16">
      <c r="A534" t="n" s="4">
        <v>530</v>
      </c>
      <c r="B534" s="2">
        <f>HYPERLINK("https://my.zakupki.prom.ua/remote/dispatcher/state_purchase_view/26069232", "UA-2021-04-22-008111-a")</f>
        <v/>
      </c>
      <c r="C534" t="s" s="2">
        <v>3102</v>
      </c>
      <c r="D534" s="2">
        <f>HYPERLINK("https://my.zakupki.prom.ua/remote/dispatcher/state_contracting_view/8647395", "UA-2021-04-22-008111-a-a1")</f>
        <v/>
      </c>
      <c r="E534" t="s" s="1">
        <v>2064</v>
      </c>
      <c r="F534" t="s" s="1">
        <v>2414</v>
      </c>
      <c r="G534" t="s" s="1">
        <v>3170</v>
      </c>
      <c r="H534" t="s" s="1">
        <v>662</v>
      </c>
      <c r="I534" t="s" s="1">
        <v>2178</v>
      </c>
      <c r="J534" t="s" s="1">
        <v>2147</v>
      </c>
      <c r="K534" t="s" s="1">
        <v>560</v>
      </c>
      <c r="L534" t="s" s="1">
        <v>1035</v>
      </c>
      <c r="M534" t="n" s="5">
        <v>8890.0</v>
      </c>
      <c r="N534" t="n" s="7">
        <v>44306.0</v>
      </c>
      <c r="O534" t="n" s="7">
        <v>44561.0</v>
      </c>
      <c r="P534" t="s" s="1">
        <v>3384</v>
      </c>
    </row>
    <row r="535" spans="1:16">
      <c r="A535" t="n" s="4">
        <v>531</v>
      </c>
      <c r="B535" s="2">
        <f>HYPERLINK("https://my.zakupki.prom.ua/remote/dispatcher/state_purchase_view/26049561", "UA-2021-04-22-001383-a")</f>
        <v/>
      </c>
      <c r="C535" t="s" s="2">
        <v>3102</v>
      </c>
      <c r="D535" s="2">
        <f>HYPERLINK("https://my.zakupki.prom.ua/remote/dispatcher/state_contracting_view/8637632", "UA-2021-04-22-001383-a-a1")</f>
        <v/>
      </c>
      <c r="E535" t="s" s="1">
        <v>1403</v>
      </c>
      <c r="F535" t="s" s="1">
        <v>2459</v>
      </c>
      <c r="G535" t="s" s="1">
        <v>2459</v>
      </c>
      <c r="H535" t="s" s="1">
        <v>708</v>
      </c>
      <c r="I535" t="s" s="1">
        <v>2178</v>
      </c>
      <c r="J535" t="s" s="1">
        <v>3278</v>
      </c>
      <c r="K535" t="s" s="1">
        <v>734</v>
      </c>
      <c r="L535" t="s" s="1">
        <v>526</v>
      </c>
      <c r="M535" t="n" s="5">
        <v>3254.4</v>
      </c>
      <c r="N535" t="n" s="7">
        <v>44307.0</v>
      </c>
      <c r="O535" t="n" s="7">
        <v>44561.0</v>
      </c>
      <c r="P535" t="s" s="1">
        <v>3384</v>
      </c>
    </row>
    <row r="536" spans="1:16">
      <c r="A536" t="n" s="4">
        <v>532</v>
      </c>
      <c r="B536" s="2">
        <f>HYPERLINK("https://my.zakupki.prom.ua/remote/dispatcher/state_purchase_view/25525949", "UA-2021-04-05-004312-a")</f>
        <v/>
      </c>
      <c r="C536" t="s" s="2">
        <v>3102</v>
      </c>
      <c r="D536" s="2">
        <f>HYPERLINK("https://my.zakupki.prom.ua/remote/dispatcher/state_contracting_view/8387378", "UA-2021-04-05-004312-a-a1")</f>
        <v/>
      </c>
      <c r="E536" t="s" s="1">
        <v>1541</v>
      </c>
      <c r="F536" t="s" s="1">
        <v>2429</v>
      </c>
      <c r="G536" t="s" s="1">
        <v>2429</v>
      </c>
      <c r="H536" t="s" s="1">
        <v>693</v>
      </c>
      <c r="I536" t="s" s="1">
        <v>2178</v>
      </c>
      <c r="J536" t="s" s="1">
        <v>2141</v>
      </c>
      <c r="K536" t="s" s="1">
        <v>438</v>
      </c>
      <c r="L536" t="s" s="1">
        <v>770</v>
      </c>
      <c r="M536" t="n" s="5">
        <v>1048.0</v>
      </c>
      <c r="N536" t="n" s="7">
        <v>44291.0</v>
      </c>
      <c r="O536" t="n" s="7">
        <v>44561.0</v>
      </c>
      <c r="P536" t="s" s="1">
        <v>3384</v>
      </c>
    </row>
    <row r="537" spans="1:16">
      <c r="A537" t="n" s="4">
        <v>533</v>
      </c>
      <c r="B537" s="2">
        <f>HYPERLINK("https://my.zakupki.prom.ua/remote/dispatcher/state_purchase_view/25556628", "UA-2021-04-06-000939-b")</f>
        <v/>
      </c>
      <c r="C537" t="s" s="2">
        <v>3102</v>
      </c>
      <c r="D537" s="2">
        <f>HYPERLINK("https://my.zakupki.prom.ua/remote/dispatcher/state_contracting_view/8403248", "UA-2021-04-06-000939-b-b1")</f>
        <v/>
      </c>
      <c r="E537" t="s" s="1">
        <v>1377</v>
      </c>
      <c r="F537" t="s" s="1">
        <v>2470</v>
      </c>
      <c r="G537" t="s" s="1">
        <v>3399</v>
      </c>
      <c r="H537" t="s" s="1">
        <v>732</v>
      </c>
      <c r="I537" t="s" s="1">
        <v>2178</v>
      </c>
      <c r="J537" t="s" s="1">
        <v>3267</v>
      </c>
      <c r="K537" t="s" s="1">
        <v>1041</v>
      </c>
      <c r="L537" t="s" s="1">
        <v>240</v>
      </c>
      <c r="M537" t="n" s="5">
        <v>29922.0</v>
      </c>
      <c r="N537" t="n" s="7">
        <v>44290.0</v>
      </c>
      <c r="O537" t="n" s="7">
        <v>44561.0</v>
      </c>
      <c r="P537" t="s" s="1">
        <v>3384</v>
      </c>
    </row>
    <row r="538" spans="1:16">
      <c r="A538" t="n" s="4">
        <v>534</v>
      </c>
      <c r="B538" s="2">
        <f>HYPERLINK("https://my.zakupki.prom.ua/remote/dispatcher/state_purchase_view/25524233", "UA-2021-04-05-003840-a")</f>
        <v/>
      </c>
      <c r="C538" t="s" s="2">
        <v>3102</v>
      </c>
      <c r="D538" s="2">
        <f>HYPERLINK("https://my.zakupki.prom.ua/remote/dispatcher/state_contracting_view/8386746", "UA-2021-04-05-003840-a-a1")</f>
        <v/>
      </c>
      <c r="E538" t="s" s="1">
        <v>1884</v>
      </c>
      <c r="F538" t="s" s="1">
        <v>2816</v>
      </c>
      <c r="G538" t="s" s="1">
        <v>2815</v>
      </c>
      <c r="H538" t="s" s="1">
        <v>1059</v>
      </c>
      <c r="I538" t="s" s="1">
        <v>2178</v>
      </c>
      <c r="J538" t="s" s="1">
        <v>2141</v>
      </c>
      <c r="K538" t="s" s="1">
        <v>438</v>
      </c>
      <c r="L538" t="s" s="1">
        <v>769</v>
      </c>
      <c r="M538" t="n" s="5">
        <v>22627.0</v>
      </c>
      <c r="N538" t="n" s="7">
        <v>44291.0</v>
      </c>
      <c r="O538" t="n" s="7">
        <v>44561.0</v>
      </c>
      <c r="P538" t="s" s="1">
        <v>3384</v>
      </c>
    </row>
    <row r="539" spans="1:16">
      <c r="A539" t="n" s="4">
        <v>535</v>
      </c>
      <c r="B539" s="2">
        <f>HYPERLINK("https://my.zakupki.prom.ua/remote/dispatcher/state_purchase_view/25523000", "UA-2021-04-05-003472-a")</f>
        <v/>
      </c>
      <c r="C539" t="s" s="2">
        <v>3102</v>
      </c>
      <c r="D539" s="2">
        <f>HYPERLINK("https://my.zakupki.prom.ua/remote/dispatcher/state_contracting_view/8386210", "UA-2021-04-05-003472-a-a1")</f>
        <v/>
      </c>
      <c r="E539" t="s" s="1">
        <v>594</v>
      </c>
      <c r="F539" t="s" s="1">
        <v>2827</v>
      </c>
      <c r="G539" t="s" s="1">
        <v>3375</v>
      </c>
      <c r="H539" t="s" s="1">
        <v>1062</v>
      </c>
      <c r="I539" t="s" s="1">
        <v>2178</v>
      </c>
      <c r="J539" t="s" s="1">
        <v>2141</v>
      </c>
      <c r="K539" t="s" s="1">
        <v>438</v>
      </c>
      <c r="L539" t="s" s="1">
        <v>767</v>
      </c>
      <c r="M539" t="n" s="5">
        <v>2422.0</v>
      </c>
      <c r="N539" t="n" s="7">
        <v>44291.0</v>
      </c>
      <c r="O539" t="n" s="7">
        <v>44561.0</v>
      </c>
      <c r="P539" t="s" s="1">
        <v>3384</v>
      </c>
    </row>
    <row r="540" spans="1:16">
      <c r="A540" t="n" s="4">
        <v>536</v>
      </c>
      <c r="B540" s="2">
        <f>HYPERLINK("https://my.zakupki.prom.ua/remote/dispatcher/state_purchase_view/25513580", "UA-2021-04-05-000879-b")</f>
        <v/>
      </c>
      <c r="C540" t="s" s="2">
        <v>3102</v>
      </c>
      <c r="D540" s="2">
        <f>HYPERLINK("https://my.zakupki.prom.ua/remote/dispatcher/state_contracting_view/8381291", "UA-2021-04-05-000879-b-b1")</f>
        <v/>
      </c>
      <c r="E540" t="s" s="1">
        <v>102</v>
      </c>
      <c r="F540" t="s" s="1">
        <v>2795</v>
      </c>
      <c r="G540" t="s" s="1">
        <v>2795</v>
      </c>
      <c r="H540" t="s" s="1">
        <v>938</v>
      </c>
      <c r="I540" t="s" s="1">
        <v>2178</v>
      </c>
      <c r="J540" t="s" s="1">
        <v>3356</v>
      </c>
      <c r="K540" t="s" s="1">
        <v>814</v>
      </c>
      <c r="L540" t="s" s="1">
        <v>726</v>
      </c>
      <c r="M540" t="n" s="5">
        <v>6750.0</v>
      </c>
      <c r="N540" t="n" s="7">
        <v>44291.0</v>
      </c>
      <c r="O540" t="n" s="7">
        <v>44561.0</v>
      </c>
      <c r="P540" t="s" s="1">
        <v>3384</v>
      </c>
    </row>
    <row r="541" spans="1:16">
      <c r="A541" t="n" s="4">
        <v>537</v>
      </c>
      <c r="B541" s="2">
        <f>HYPERLINK("https://my.zakupki.prom.ua/remote/dispatcher/state_purchase_view/25254669", "UA-2021-03-26-007523-c")</f>
        <v/>
      </c>
      <c r="C541" t="s" s="2">
        <v>3102</v>
      </c>
      <c r="D541" s="2">
        <f>HYPERLINK("https://my.zakupki.prom.ua/remote/dispatcher/state_contracting_view/8277101", "UA-2021-03-26-007523-c-c1")</f>
        <v/>
      </c>
      <c r="E541" t="s" s="1">
        <v>507</v>
      </c>
      <c r="F541" t="s" s="1">
        <v>2436</v>
      </c>
      <c r="G541" t="s" s="1">
        <v>2436</v>
      </c>
      <c r="H541" t="s" s="1">
        <v>703</v>
      </c>
      <c r="I541" t="s" s="1">
        <v>2178</v>
      </c>
      <c r="J541" t="s" s="1">
        <v>3309</v>
      </c>
      <c r="K541" t="s" s="1">
        <v>611</v>
      </c>
      <c r="L541" t="s" s="1">
        <v>3184</v>
      </c>
      <c r="M541" t="n" s="5">
        <v>148.0</v>
      </c>
      <c r="N541" t="n" s="7">
        <v>44281.0</v>
      </c>
      <c r="O541" t="n" s="7">
        <v>44561.0</v>
      </c>
      <c r="P541" t="s" s="1">
        <v>3384</v>
      </c>
    </row>
    <row r="542" spans="1:16">
      <c r="A542" t="n" s="4">
        <v>538</v>
      </c>
      <c r="B542" s="2">
        <f>HYPERLINK("https://my.zakupki.prom.ua/remote/dispatcher/state_purchase_view/25269760", "UA-2021-03-26-012674-c")</f>
        <v/>
      </c>
      <c r="C542" t="s" s="2">
        <v>3102</v>
      </c>
      <c r="D542" s="2">
        <f>HYPERLINK("https://my.zakupki.prom.ua/remote/dispatcher/state_contracting_view/8287423", "UA-2021-03-26-012674-c-c1")</f>
        <v/>
      </c>
      <c r="E542" t="s" s="1">
        <v>2030</v>
      </c>
      <c r="F542" t="s" s="1">
        <v>2288</v>
      </c>
      <c r="G542" t="s" s="1">
        <v>2288</v>
      </c>
      <c r="H542" t="s" s="1">
        <v>266</v>
      </c>
      <c r="I542" t="s" s="1">
        <v>2178</v>
      </c>
      <c r="J542" t="s" s="1">
        <v>3356</v>
      </c>
      <c r="K542" t="s" s="1">
        <v>814</v>
      </c>
      <c r="L542" t="s" s="1">
        <v>622</v>
      </c>
      <c r="M542" t="n" s="5">
        <v>2500.0</v>
      </c>
      <c r="N542" t="n" s="7">
        <v>44281.0</v>
      </c>
      <c r="O542" t="n" s="7">
        <v>44561.0</v>
      </c>
      <c r="P542" t="s" s="1">
        <v>3384</v>
      </c>
    </row>
    <row r="543" spans="1:16">
      <c r="A543" t="n" s="4">
        <v>539</v>
      </c>
      <c r="B543" s="2">
        <f>HYPERLINK("https://my.zakupki.prom.ua/remote/dispatcher/state_purchase_view/26107081", "UA-2021-04-23-005776-b")</f>
        <v/>
      </c>
      <c r="C543" t="s" s="2">
        <v>3102</v>
      </c>
      <c r="D543" s="2">
        <f>HYPERLINK("https://my.zakupki.prom.ua/remote/dispatcher/state_contracting_view/8664750", "UA-2021-04-23-005776-b-b1")</f>
        <v/>
      </c>
      <c r="E543" t="s" s="1">
        <v>1320</v>
      </c>
      <c r="F543" t="s" s="1">
        <v>2605</v>
      </c>
      <c r="G543" t="s" s="1">
        <v>2605</v>
      </c>
      <c r="H543" t="s" s="1">
        <v>774</v>
      </c>
      <c r="I543" t="s" s="1">
        <v>2178</v>
      </c>
      <c r="J543" t="s" s="1">
        <v>3131</v>
      </c>
      <c r="K543" t="s" s="1">
        <v>658</v>
      </c>
      <c r="L543" t="s" s="1">
        <v>580</v>
      </c>
      <c r="M543" t="n" s="5">
        <v>14802.0</v>
      </c>
      <c r="N543" t="n" s="7">
        <v>44308.0</v>
      </c>
      <c r="O543" t="n" s="7">
        <v>44561.0</v>
      </c>
      <c r="P543" t="s" s="1">
        <v>3384</v>
      </c>
    </row>
    <row r="544" spans="1:16">
      <c r="A544" t="n" s="4">
        <v>540</v>
      </c>
      <c r="B544" s="2">
        <f>HYPERLINK("https://my.zakupki.prom.ua/remote/dispatcher/state_purchase_view/26393062", "UA-2021-05-07-008057-b")</f>
        <v/>
      </c>
      <c r="C544" t="s" s="2">
        <v>3102</v>
      </c>
      <c r="D544" s="2">
        <f>HYPERLINK("https://my.zakupki.prom.ua/remote/dispatcher/state_contracting_view/8803872", "UA-2021-05-07-008057-b-b1")</f>
        <v/>
      </c>
      <c r="E544" t="s" s="1">
        <v>1830</v>
      </c>
      <c r="F544" t="s" s="1">
        <v>2693</v>
      </c>
      <c r="G544" t="s" s="1">
        <v>3524</v>
      </c>
      <c r="H544" t="s" s="1">
        <v>774</v>
      </c>
      <c r="I544" t="s" s="1">
        <v>2178</v>
      </c>
      <c r="J544" t="s" s="1">
        <v>3277</v>
      </c>
      <c r="K544" t="s" s="1">
        <v>519</v>
      </c>
      <c r="L544" t="s" s="1">
        <v>1180</v>
      </c>
      <c r="M544" t="n" s="5">
        <v>113427.39</v>
      </c>
      <c r="N544" t="n" s="7">
        <v>44323.0</v>
      </c>
      <c r="O544" t="n" s="7">
        <v>44561.0</v>
      </c>
      <c r="P544" t="s" s="1">
        <v>3384</v>
      </c>
    </row>
    <row r="545" spans="1:16">
      <c r="A545" t="n" s="4">
        <v>541</v>
      </c>
      <c r="B545" s="2">
        <f>HYPERLINK("https://my.zakupki.prom.ua/remote/dispatcher/state_purchase_view/26401365", "UA-2021-05-11-000433-a")</f>
        <v/>
      </c>
      <c r="C545" t="s" s="2">
        <v>3102</v>
      </c>
      <c r="D545" s="2">
        <f>HYPERLINK("https://my.zakupki.prom.ua/remote/dispatcher/state_contracting_view/8810037", "UA-2021-05-11-000433-a-a1")</f>
        <v/>
      </c>
      <c r="E545" t="s" s="1">
        <v>2005</v>
      </c>
      <c r="F545" t="s" s="1">
        <v>2615</v>
      </c>
      <c r="G545" t="s" s="1">
        <v>2615</v>
      </c>
      <c r="H545" t="s" s="1">
        <v>774</v>
      </c>
      <c r="I545" t="s" s="1">
        <v>2178</v>
      </c>
      <c r="J545" t="s" s="1">
        <v>3277</v>
      </c>
      <c r="K545" t="s" s="1">
        <v>519</v>
      </c>
      <c r="L545" t="s" s="1">
        <v>1184</v>
      </c>
      <c r="M545" t="n" s="5">
        <v>534.53</v>
      </c>
      <c r="N545" t="n" s="7">
        <v>44323.0</v>
      </c>
      <c r="O545" t="n" s="7">
        <v>44561.0</v>
      </c>
      <c r="P545" t="s" s="1">
        <v>3384</v>
      </c>
    </row>
    <row r="546" spans="1:16">
      <c r="A546" t="n" s="4">
        <v>542</v>
      </c>
      <c r="B546" s="2">
        <f>HYPERLINK("https://my.zakupki.prom.ua/remote/dispatcher/state_purchase_view/26096512", "UA-2021-04-23-002794-b")</f>
        <v/>
      </c>
      <c r="C546" t="s" s="2">
        <v>3102</v>
      </c>
      <c r="D546" s="2">
        <f>HYPERLINK("https://my.zakupki.prom.ua/remote/dispatcher/state_contracting_view/8660215", "UA-2021-04-23-002794-b-b1")</f>
        <v/>
      </c>
      <c r="E546" t="s" s="1">
        <v>2018</v>
      </c>
      <c r="F546" t="s" s="1">
        <v>2673</v>
      </c>
      <c r="G546" t="s" s="1">
        <v>3506</v>
      </c>
      <c r="H546" t="s" s="1">
        <v>774</v>
      </c>
      <c r="I546" t="s" s="1">
        <v>2178</v>
      </c>
      <c r="J546" t="s" s="1">
        <v>3277</v>
      </c>
      <c r="K546" t="s" s="1">
        <v>519</v>
      </c>
      <c r="L546" t="s" s="1">
        <v>1046</v>
      </c>
      <c r="M546" t="n" s="5">
        <v>13881.94</v>
      </c>
      <c r="N546" t="n" s="7">
        <v>44308.0</v>
      </c>
      <c r="O546" t="n" s="7">
        <v>44561.0</v>
      </c>
      <c r="P546" t="s" s="1">
        <v>3384</v>
      </c>
    </row>
    <row r="547" spans="1:16">
      <c r="A547" t="n" s="4">
        <v>543</v>
      </c>
      <c r="B547" s="2">
        <f>HYPERLINK("https://my.zakupki.prom.ua/remote/dispatcher/state_purchase_view/25510937", "UA-2021-04-05-001244-a")</f>
        <v/>
      </c>
      <c r="C547" t="s" s="2">
        <v>3102</v>
      </c>
      <c r="D547" s="2">
        <f>HYPERLINK("https://my.zakupki.prom.ua/remote/dispatcher/state_contracting_view/8380852", "UA-2021-04-05-001244-a-a1")</f>
        <v/>
      </c>
      <c r="E547" t="s" s="1">
        <v>1828</v>
      </c>
      <c r="F547" t="s" s="1">
        <v>2647</v>
      </c>
      <c r="G547" t="s" s="1">
        <v>3447</v>
      </c>
      <c r="H547" t="s" s="1">
        <v>774</v>
      </c>
      <c r="I547" t="s" s="1">
        <v>2178</v>
      </c>
      <c r="J547" t="s" s="1">
        <v>3131</v>
      </c>
      <c r="K547" t="s" s="1">
        <v>658</v>
      </c>
      <c r="L547" t="s" s="1">
        <v>512</v>
      </c>
      <c r="M547" t="n" s="5">
        <v>415231.95</v>
      </c>
      <c r="N547" t="n" s="7">
        <v>44288.0</v>
      </c>
      <c r="O547" t="n" s="7">
        <v>44561.0</v>
      </c>
      <c r="P547" t="s" s="1">
        <v>3384</v>
      </c>
    </row>
    <row r="548" spans="1:16">
      <c r="A548" t="n" s="4">
        <v>544</v>
      </c>
      <c r="B548" s="2">
        <f>HYPERLINK("https://my.zakupki.prom.ua/remote/dispatcher/state_purchase_view/26275799", "UA-2021-04-30-000279-a")</f>
        <v/>
      </c>
      <c r="C548" t="s" s="2">
        <v>3102</v>
      </c>
      <c r="D548" s="2">
        <f>HYPERLINK("https://my.zakupki.prom.ua/remote/dispatcher/state_contracting_view/8746642", "UA-2021-04-30-000279-a-a1")</f>
        <v/>
      </c>
      <c r="E548" t="s" s="1">
        <v>234</v>
      </c>
      <c r="F548" t="s" s="1">
        <v>2754</v>
      </c>
      <c r="G548" t="s" s="1">
        <v>2754</v>
      </c>
      <c r="H548" t="s" s="1">
        <v>914</v>
      </c>
      <c r="I548" t="s" s="1">
        <v>2178</v>
      </c>
      <c r="J548" t="s" s="1">
        <v>3112</v>
      </c>
      <c r="K548" t="s" s="1">
        <v>802</v>
      </c>
      <c r="L548" t="s" s="1">
        <v>875</v>
      </c>
      <c r="M548" t="n" s="5">
        <v>618.0</v>
      </c>
      <c r="N548" t="n" s="7">
        <v>44315.0</v>
      </c>
      <c r="O548" t="n" s="7">
        <v>44561.0</v>
      </c>
      <c r="P548" t="s" s="1">
        <v>3384</v>
      </c>
    </row>
    <row r="549" spans="1:16">
      <c r="A549" t="n" s="4">
        <v>545</v>
      </c>
      <c r="B549" s="2">
        <f>HYPERLINK("https://my.zakupki.prom.ua/remote/dispatcher/state_purchase_view/26258445", "UA-2021-04-29-005103-c")</f>
        <v/>
      </c>
      <c r="C549" t="s" s="2">
        <v>3102</v>
      </c>
      <c r="D549" s="2">
        <f>HYPERLINK("https://my.zakupki.prom.ua/remote/dispatcher/state_contracting_view/8738910", "UA-2021-04-29-005103-c-c1")</f>
        <v/>
      </c>
      <c r="E549" t="s" s="1">
        <v>1404</v>
      </c>
      <c r="F549" t="s" s="1">
        <v>2232</v>
      </c>
      <c r="G549" t="s" s="1">
        <v>2232</v>
      </c>
      <c r="H549" t="s" s="1">
        <v>98</v>
      </c>
      <c r="I549" t="s" s="1">
        <v>2178</v>
      </c>
      <c r="J549" t="s" s="1">
        <v>3112</v>
      </c>
      <c r="K549" t="s" s="1">
        <v>802</v>
      </c>
      <c r="L549" t="s" s="1">
        <v>587</v>
      </c>
      <c r="M549" t="n" s="5">
        <v>245.7</v>
      </c>
      <c r="N549" t="n" s="7">
        <v>44315.0</v>
      </c>
      <c r="O549" t="n" s="7">
        <v>44561.0</v>
      </c>
      <c r="P549" t="s" s="1">
        <v>3384</v>
      </c>
    </row>
    <row r="550" spans="1:16">
      <c r="A550" t="n" s="4">
        <v>546</v>
      </c>
      <c r="B550" s="2">
        <f>HYPERLINK("https://my.zakupki.prom.ua/remote/dispatcher/state_purchase_view/26602526", "UA-2021-05-17-012253-b")</f>
        <v/>
      </c>
      <c r="C550" t="s" s="2">
        <v>3102</v>
      </c>
      <c r="D550" s="2">
        <f>HYPERLINK("https://my.zakupki.prom.ua/remote/dispatcher/state_contracting_view/8903115", "UA-2021-05-17-012253-b-b1")</f>
        <v/>
      </c>
      <c r="E550" t="s" s="1">
        <v>107</v>
      </c>
      <c r="F550" t="s" s="1">
        <v>2542</v>
      </c>
      <c r="G550" t="s" s="1">
        <v>3537</v>
      </c>
      <c r="H550" t="s" s="1">
        <v>759</v>
      </c>
      <c r="I550" t="s" s="1">
        <v>2178</v>
      </c>
      <c r="J550" t="s" s="1">
        <v>3258</v>
      </c>
      <c r="K550" t="s" s="1">
        <v>776</v>
      </c>
      <c r="L550" t="s" s="1">
        <v>344</v>
      </c>
      <c r="M550" t="n" s="5">
        <v>54587.0</v>
      </c>
      <c r="N550" t="n" s="7">
        <v>44333.0</v>
      </c>
      <c r="O550" t="n" s="7">
        <v>44561.0</v>
      </c>
      <c r="P550" t="s" s="1">
        <v>3384</v>
      </c>
    </row>
    <row r="551" spans="1:16">
      <c r="A551" t="n" s="4">
        <v>547</v>
      </c>
      <c r="B551" s="2">
        <f>HYPERLINK("https://my.zakupki.prom.ua/remote/dispatcher/state_purchase_view/26211082", "UA-2021-04-28-001351-b")</f>
        <v/>
      </c>
      <c r="C551" t="s" s="2">
        <v>3102</v>
      </c>
      <c r="D551" s="2">
        <f>HYPERLINK("https://my.zakupki.prom.ua/remote/dispatcher/state_contracting_view/8716246", "UA-2021-04-28-001351-b-b1")</f>
        <v/>
      </c>
      <c r="E551" t="s" s="1">
        <v>718</v>
      </c>
      <c r="F551" t="s" s="1">
        <v>2793</v>
      </c>
      <c r="G551" t="s" s="1">
        <v>2793</v>
      </c>
      <c r="H551" t="s" s="1">
        <v>938</v>
      </c>
      <c r="I551" t="s" s="1">
        <v>2178</v>
      </c>
      <c r="J551" t="s" s="1">
        <v>3306</v>
      </c>
      <c r="K551" t="s" s="1">
        <v>996</v>
      </c>
      <c r="L551" t="s" s="1">
        <v>3076</v>
      </c>
      <c r="M551" t="n" s="5">
        <v>3735.0</v>
      </c>
      <c r="N551" t="n" s="7">
        <v>44314.0</v>
      </c>
      <c r="O551" t="n" s="7">
        <v>44561.0</v>
      </c>
      <c r="P551" t="s" s="1">
        <v>3384</v>
      </c>
    </row>
    <row r="552" spans="1:16">
      <c r="A552" t="n" s="4">
        <v>548</v>
      </c>
      <c r="B552" s="2">
        <f>HYPERLINK("https://my.zakupki.prom.ua/remote/dispatcher/state_purchase_view/26989870", "UA-2021-05-28-006624-b")</f>
        <v/>
      </c>
      <c r="C552" t="s" s="2">
        <v>3102</v>
      </c>
      <c r="D552" s="2">
        <f>HYPERLINK("https://my.zakupki.prom.ua/remote/dispatcher/state_contracting_view/9086984", "UA-2021-05-28-006624-b-b1")</f>
        <v/>
      </c>
      <c r="E552" t="s" s="1">
        <v>1957</v>
      </c>
      <c r="F552" t="s" s="1">
        <v>2365</v>
      </c>
      <c r="G552" t="s" s="1">
        <v>2365</v>
      </c>
      <c r="H552" t="s" s="1">
        <v>528</v>
      </c>
      <c r="I552" t="s" s="1">
        <v>2178</v>
      </c>
      <c r="J552" t="s" s="1">
        <v>3271</v>
      </c>
      <c r="K552" t="s" s="1">
        <v>694</v>
      </c>
      <c r="L552" t="s" s="1">
        <v>410</v>
      </c>
      <c r="M552" t="n" s="5">
        <v>852.0</v>
      </c>
      <c r="N552" t="n" s="7">
        <v>44343.0</v>
      </c>
      <c r="O552" t="n" s="7">
        <v>44561.0</v>
      </c>
      <c r="P552" t="s" s="1">
        <v>3384</v>
      </c>
    </row>
    <row r="553" spans="1:16">
      <c r="A553" t="n" s="4">
        <v>549</v>
      </c>
      <c r="B553" s="2">
        <f>HYPERLINK("https://my.zakupki.prom.ua/remote/dispatcher/state_purchase_view/26506412", "UA-2021-05-13-002742-a")</f>
        <v/>
      </c>
      <c r="C553" t="s" s="2">
        <v>3102</v>
      </c>
      <c r="D553" s="2">
        <f>HYPERLINK("https://my.zakupki.prom.ua/remote/dispatcher/state_contracting_view/8859394", "UA-2021-05-13-002742-a-a1")</f>
        <v/>
      </c>
      <c r="E553" t="s" s="1">
        <v>2092</v>
      </c>
      <c r="F553" t="s" s="1">
        <v>2303</v>
      </c>
      <c r="G553" t="s" s="1">
        <v>2303</v>
      </c>
      <c r="H553" t="s" s="1">
        <v>277</v>
      </c>
      <c r="I553" t="s" s="1">
        <v>2178</v>
      </c>
      <c r="J553" t="s" s="1">
        <v>3356</v>
      </c>
      <c r="K553" t="s" s="1">
        <v>814</v>
      </c>
      <c r="L553" t="s" s="1">
        <v>1209</v>
      </c>
      <c r="M553" t="n" s="5">
        <v>5180.0</v>
      </c>
      <c r="N553" t="n" s="7">
        <v>44329.0</v>
      </c>
      <c r="O553" t="n" s="7">
        <v>44561.0</v>
      </c>
      <c r="P553" t="s" s="1">
        <v>3384</v>
      </c>
    </row>
    <row r="554" spans="1:16">
      <c r="A554" t="n" s="4">
        <v>550</v>
      </c>
      <c r="B554" s="2">
        <f>HYPERLINK("https://my.zakupki.prom.ua/remote/dispatcher/state_purchase_view/25452696", "UA-2021-04-01-003149-a")</f>
        <v/>
      </c>
      <c r="C554" t="s" s="2">
        <v>3102</v>
      </c>
      <c r="D554" s="2">
        <f>HYPERLINK("https://my.zakupki.prom.ua/remote/dispatcher/state_contracting_view/8353177", "UA-2021-04-01-003149-a-a1")</f>
        <v/>
      </c>
      <c r="E554" t="s" s="1">
        <v>1931</v>
      </c>
      <c r="F554" t="s" s="1">
        <v>2380</v>
      </c>
      <c r="G554" t="s" s="1">
        <v>2380</v>
      </c>
      <c r="H554" t="s" s="1">
        <v>536</v>
      </c>
      <c r="I554" t="s" s="1">
        <v>2178</v>
      </c>
      <c r="J554" t="s" s="1">
        <v>2162</v>
      </c>
      <c r="K554" t="s" s="1">
        <v>545</v>
      </c>
      <c r="L554" t="s" s="1">
        <v>699</v>
      </c>
      <c r="M554" t="n" s="5">
        <v>3800.0</v>
      </c>
      <c r="N554" t="n" s="7">
        <v>44287.0</v>
      </c>
      <c r="O554" t="n" s="7">
        <v>44561.0</v>
      </c>
      <c r="P554" t="s" s="1">
        <v>3384</v>
      </c>
    </row>
    <row r="555" spans="1:16">
      <c r="A555" t="n" s="4">
        <v>551</v>
      </c>
      <c r="B555" s="2">
        <f>HYPERLINK("https://my.zakupki.prom.ua/remote/dispatcher/state_purchase_view/27303338", "UA-2021-06-09-002274-b")</f>
        <v/>
      </c>
      <c r="C555" t="s" s="2">
        <v>3102</v>
      </c>
      <c r="D555" s="2">
        <f>HYPERLINK("https://my.zakupki.prom.ua/remote/dispatcher/state_contracting_view/9235856", "UA-2021-06-09-002274-b-b1")</f>
        <v/>
      </c>
      <c r="E555" t="s" s="1">
        <v>2037</v>
      </c>
      <c r="F555" t="s" s="1">
        <v>2907</v>
      </c>
      <c r="G555" t="s" s="1">
        <v>2908</v>
      </c>
      <c r="H555" t="s" s="1">
        <v>1169</v>
      </c>
      <c r="I555" t="s" s="1">
        <v>2178</v>
      </c>
      <c r="J555" t="s" s="1">
        <v>3303</v>
      </c>
      <c r="K555" t="s" s="1">
        <v>483</v>
      </c>
      <c r="L555" t="s" s="1">
        <v>1271</v>
      </c>
      <c r="M555" t="n" s="5">
        <v>3162.0</v>
      </c>
      <c r="N555" t="n" s="7">
        <v>44355.0</v>
      </c>
      <c r="O555" t="n" s="7">
        <v>44561.0</v>
      </c>
      <c r="P555" t="s" s="1">
        <v>3384</v>
      </c>
    </row>
    <row r="556" spans="1:16">
      <c r="A556" t="n" s="4">
        <v>552</v>
      </c>
      <c r="B556" s="2">
        <f>HYPERLINK("https://my.zakupki.prom.ua/remote/dispatcher/state_purchase_view/30609185", "UA-2021-10-08-001481-b")</f>
        <v/>
      </c>
      <c r="C556" t="s" s="2">
        <v>3102</v>
      </c>
      <c r="D556" s="2">
        <f>HYPERLINK("https://my.zakupki.prom.ua/remote/dispatcher/state_contracting_view/10780790", "UA-2021-10-08-001481-b-b1")</f>
        <v/>
      </c>
      <c r="E556" t="s" s="1">
        <v>1499</v>
      </c>
      <c r="F556" t="s" s="1">
        <v>2958</v>
      </c>
      <c r="G556" t="s" s="1">
        <v>2958</v>
      </c>
      <c r="H556" t="s" s="1">
        <v>1449</v>
      </c>
      <c r="I556" t="s" s="1">
        <v>2178</v>
      </c>
      <c r="J556" t="s" s="1">
        <v>2157</v>
      </c>
      <c r="K556" t="s" s="1">
        <v>435</v>
      </c>
      <c r="L556" t="s" s="1">
        <v>1335</v>
      </c>
      <c r="M556" t="n" s="5">
        <v>15840.0</v>
      </c>
      <c r="N556" t="n" s="7">
        <v>44477.0</v>
      </c>
      <c r="O556" t="n" s="7">
        <v>44561.0</v>
      </c>
      <c r="P556" t="s" s="1">
        <v>3384</v>
      </c>
    </row>
    <row r="557" spans="1:16">
      <c r="A557" t="n" s="4">
        <v>553</v>
      </c>
      <c r="B557" s="2">
        <f>HYPERLINK("https://my.zakupki.prom.ua/remote/dispatcher/state_purchase_view/23378048", "UA-2021-01-28-004998-b")</f>
        <v/>
      </c>
      <c r="C557" t="s" s="2">
        <v>3102</v>
      </c>
      <c r="D557" s="2">
        <f>HYPERLINK("https://my.zakupki.prom.ua/remote/dispatcher/state_contracting_view/7401355", "UA-2021-01-28-004998-b-b1")</f>
        <v/>
      </c>
      <c r="E557" t="s" s="1">
        <v>1728</v>
      </c>
      <c r="F557" t="s" s="1">
        <v>3042</v>
      </c>
      <c r="G557" t="s" s="1">
        <v>3043</v>
      </c>
      <c r="H557" t="s" s="1">
        <v>1119</v>
      </c>
      <c r="I557" t="s" s="1">
        <v>2178</v>
      </c>
      <c r="J557" t="s" s="1">
        <v>3260</v>
      </c>
      <c r="K557" t="s" s="1">
        <v>990</v>
      </c>
      <c r="L557" t="s" s="1">
        <v>1341</v>
      </c>
      <c r="M557" t="n" s="5">
        <v>23200.0</v>
      </c>
      <c r="N557" t="n" s="7">
        <v>44224.0</v>
      </c>
      <c r="O557" t="n" s="7">
        <v>44561.0</v>
      </c>
      <c r="P557" t="s" s="1">
        <v>3384</v>
      </c>
    </row>
    <row r="558" spans="1:16">
      <c r="A558" t="n" s="4">
        <v>554</v>
      </c>
      <c r="B558" s="2">
        <f>HYPERLINK("https://my.zakupki.prom.ua/remote/dispatcher/state_purchase_view/22952087", "UA-2021-01-14-001230-a")</f>
        <v/>
      </c>
      <c r="C558" t="s" s="2">
        <v>3102</v>
      </c>
      <c r="D558" s="2">
        <f>HYPERLINK("https://my.zakupki.prom.ua/remote/dispatcher/state_contracting_view/7220379", "UA-2021-01-14-001230-a-a1")</f>
        <v/>
      </c>
      <c r="E558" t="s" s="1">
        <v>1125</v>
      </c>
      <c r="F558" t="s" s="1">
        <v>2916</v>
      </c>
      <c r="G558" t="s" s="1">
        <v>2916</v>
      </c>
      <c r="H558" t="s" s="1">
        <v>1173</v>
      </c>
      <c r="I558" t="s" s="1">
        <v>2178</v>
      </c>
      <c r="J558" t="s" s="1">
        <v>3089</v>
      </c>
      <c r="K558" t="s" s="1">
        <v>654</v>
      </c>
      <c r="L558" t="s" s="1">
        <v>876</v>
      </c>
      <c r="M558" t="n" s="5">
        <v>1200.0</v>
      </c>
      <c r="N558" t="n" s="7">
        <v>44210.0</v>
      </c>
      <c r="O558" t="n" s="7">
        <v>44561.0</v>
      </c>
      <c r="P558" t="s" s="1">
        <v>3384</v>
      </c>
    </row>
    <row r="559" spans="1:16">
      <c r="A559" t="n" s="4">
        <v>555</v>
      </c>
      <c r="B559" s="2">
        <f>HYPERLINK("https://my.zakupki.prom.ua/remote/dispatcher/state_purchase_view/22935236", "UA-2021-01-13-002483-a")</f>
        <v/>
      </c>
      <c r="C559" t="s" s="2">
        <v>3102</v>
      </c>
      <c r="D559" s="2">
        <f>HYPERLINK("https://my.zakupki.prom.ua/remote/dispatcher/state_contracting_view/7214937", "UA-2021-01-13-002483-a-a1")</f>
        <v/>
      </c>
      <c r="E559" t="s" s="1">
        <v>1483</v>
      </c>
      <c r="F559" t="s" s="1">
        <v>2391</v>
      </c>
      <c r="G559" t="s" s="1">
        <v>2391</v>
      </c>
      <c r="H559" t="s" s="1">
        <v>539</v>
      </c>
      <c r="I559" t="s" s="1">
        <v>2178</v>
      </c>
      <c r="J559" t="s" s="1">
        <v>3112</v>
      </c>
      <c r="K559" t="s" s="1">
        <v>802</v>
      </c>
      <c r="L559" t="s" s="1">
        <v>365</v>
      </c>
      <c r="M559" t="n" s="5">
        <v>108.1</v>
      </c>
      <c r="N559" t="n" s="7">
        <v>44209.0</v>
      </c>
      <c r="O559" t="n" s="7">
        <v>44561.0</v>
      </c>
      <c r="P559" t="s" s="1">
        <v>3384</v>
      </c>
    </row>
    <row r="560" spans="1:16">
      <c r="A560" t="n" s="4">
        <v>556</v>
      </c>
      <c r="B560" s="2">
        <f>HYPERLINK("https://my.zakupki.prom.ua/remote/dispatcher/state_purchase_view/22967266", "UA-2021-01-15-000402-a")</f>
        <v/>
      </c>
      <c r="C560" t="s" s="2">
        <v>3102</v>
      </c>
      <c r="D560" s="2">
        <f>HYPERLINK("https://my.zakupki.prom.ua/remote/dispatcher/state_contracting_view/7225203", "UA-2021-01-15-000402-a-a1")</f>
        <v/>
      </c>
      <c r="E560" t="s" s="1">
        <v>1115</v>
      </c>
      <c r="F560" t="s" s="1">
        <v>2715</v>
      </c>
      <c r="G560" t="s" s="1">
        <v>2715</v>
      </c>
      <c r="H560" t="s" s="1">
        <v>783</v>
      </c>
      <c r="I560" t="s" s="1">
        <v>2178</v>
      </c>
      <c r="J560" t="s" s="1">
        <v>3140</v>
      </c>
      <c r="K560" t="s" s="1">
        <v>825</v>
      </c>
      <c r="L560" t="s" s="1">
        <v>972</v>
      </c>
      <c r="M560" t="n" s="5">
        <v>14400.0</v>
      </c>
      <c r="N560" t="n" s="7">
        <v>44210.0</v>
      </c>
      <c r="O560" t="n" s="7">
        <v>44561.0</v>
      </c>
      <c r="P560" t="s" s="1">
        <v>3384</v>
      </c>
    </row>
    <row r="561" spans="1:16">
      <c r="A561" t="n" s="4">
        <v>557</v>
      </c>
      <c r="B561" s="2">
        <f>HYPERLINK("https://my.zakupki.prom.ua/remote/dispatcher/state_purchase_view/22933572", "UA-2021-01-13-001948-a")</f>
        <v/>
      </c>
      <c r="C561" t="s" s="2">
        <v>3102</v>
      </c>
      <c r="D561" s="2">
        <f>HYPERLINK("https://my.zakupki.prom.ua/remote/dispatcher/state_contracting_view/7214464", "UA-2021-01-13-001948-a-a1")</f>
        <v/>
      </c>
      <c r="E561" t="s" s="1">
        <v>1807</v>
      </c>
      <c r="F561" t="s" s="1">
        <v>2335</v>
      </c>
      <c r="G561" t="s" s="1">
        <v>2335</v>
      </c>
      <c r="H561" t="s" s="1">
        <v>375</v>
      </c>
      <c r="I561" t="s" s="1">
        <v>2178</v>
      </c>
      <c r="J561" t="s" s="1">
        <v>3112</v>
      </c>
      <c r="K561" t="s" s="1">
        <v>802</v>
      </c>
      <c r="L561" t="s" s="1">
        <v>186</v>
      </c>
      <c r="M561" t="n" s="5">
        <v>69.0</v>
      </c>
      <c r="N561" t="n" s="7">
        <v>44209.0</v>
      </c>
      <c r="O561" t="n" s="7">
        <v>44561.0</v>
      </c>
      <c r="P561" t="s" s="1">
        <v>3384</v>
      </c>
    </row>
    <row r="562" spans="1:16">
      <c r="A562" t="n" s="4">
        <v>558</v>
      </c>
      <c r="B562" s="2">
        <f>HYPERLINK("https://my.zakupki.prom.ua/remote/dispatcher/state_purchase_view/22929586", "UA-2021-01-13-000692-a")</f>
        <v/>
      </c>
      <c r="C562" t="s" s="2">
        <v>3102</v>
      </c>
      <c r="D562" s="2">
        <f>HYPERLINK("https://my.zakupki.prom.ua/remote/dispatcher/state_contracting_view/7213151", "UA-2021-01-13-000692-a-a1")</f>
        <v/>
      </c>
      <c r="E562" t="s" s="1">
        <v>1596</v>
      </c>
      <c r="F562" t="s" s="1">
        <v>2845</v>
      </c>
      <c r="G562" t="s" s="1">
        <v>2845</v>
      </c>
      <c r="H562" t="s" s="1">
        <v>1072</v>
      </c>
      <c r="I562" t="s" s="1">
        <v>2178</v>
      </c>
      <c r="J562" t="s" s="1">
        <v>3112</v>
      </c>
      <c r="K562" t="s" s="1">
        <v>802</v>
      </c>
      <c r="L562" t="s" s="1">
        <v>967</v>
      </c>
      <c r="M562" t="n" s="5">
        <v>22590.15</v>
      </c>
      <c r="N562" t="n" s="7">
        <v>44209.0</v>
      </c>
      <c r="O562" t="n" s="7">
        <v>44561.0</v>
      </c>
      <c r="P562" t="s" s="1">
        <v>3384</v>
      </c>
    </row>
    <row r="563" spans="1:16">
      <c r="A563" t="n" s="4">
        <v>559</v>
      </c>
      <c r="B563" s="2">
        <f>HYPERLINK("https://my.zakupki.prom.ua/remote/dispatcher/state_purchase_view/25371374", "UA-2021-03-30-001915-c")</f>
        <v/>
      </c>
      <c r="C563" t="s" s="2">
        <v>3102</v>
      </c>
      <c r="D563" s="2">
        <f>HYPERLINK("https://my.zakupki.prom.ua/remote/dispatcher/state_contracting_view/8317994", "UA-2021-03-30-001915-c-c1")</f>
        <v/>
      </c>
      <c r="E563" t="s" s="1">
        <v>159</v>
      </c>
      <c r="F563" t="s" s="1">
        <v>2372</v>
      </c>
      <c r="G563" t="s" s="1">
        <v>2372</v>
      </c>
      <c r="H563" t="s" s="1">
        <v>533</v>
      </c>
      <c r="I563" t="s" s="1">
        <v>2178</v>
      </c>
      <c r="J563" t="s" s="1">
        <v>3131</v>
      </c>
      <c r="K563" t="s" s="1">
        <v>658</v>
      </c>
      <c r="L563" t="s" s="1">
        <v>488</v>
      </c>
      <c r="M563" t="n" s="5">
        <v>991.5</v>
      </c>
      <c r="N563" t="n" s="7">
        <v>44285.0</v>
      </c>
      <c r="O563" t="n" s="7">
        <v>44561.0</v>
      </c>
      <c r="P563" t="s" s="1">
        <v>3384</v>
      </c>
    </row>
    <row r="564" spans="1:16">
      <c r="A564" t="n" s="4">
        <v>560</v>
      </c>
      <c r="B564" s="2">
        <f>HYPERLINK("https://my.zakupki.prom.ua/remote/dispatcher/state_purchase_view/25070938", "UA-2021-03-19-003676-b")</f>
        <v/>
      </c>
      <c r="C564" t="s" s="2">
        <v>3102</v>
      </c>
      <c r="D564" s="2">
        <f>HYPERLINK("https://my.zakupki.prom.ua/remote/dispatcher/state_contracting_view/8180030", "UA-2021-03-19-003676-b-b1")</f>
        <v/>
      </c>
      <c r="E564" t="s" s="1">
        <v>1113</v>
      </c>
      <c r="F564" t="s" s="1">
        <v>2625</v>
      </c>
      <c r="G564" t="s" s="1">
        <v>3408</v>
      </c>
      <c r="H564" t="s" s="1">
        <v>774</v>
      </c>
      <c r="I564" t="s" s="1">
        <v>2178</v>
      </c>
      <c r="J564" t="s" s="1">
        <v>3277</v>
      </c>
      <c r="K564" t="s" s="1">
        <v>519</v>
      </c>
      <c r="L564" t="s" s="1">
        <v>521</v>
      </c>
      <c r="M564" t="n" s="5">
        <v>13693.5</v>
      </c>
      <c r="N564" t="n" s="7">
        <v>44274.0</v>
      </c>
      <c r="O564" t="n" s="7">
        <v>44561.0</v>
      </c>
      <c r="P564" t="s" s="1">
        <v>3384</v>
      </c>
    </row>
    <row r="565" spans="1:16">
      <c r="A565" t="n" s="4">
        <v>561</v>
      </c>
      <c r="B565" s="2">
        <f>HYPERLINK("https://my.zakupki.prom.ua/remote/dispatcher/state_purchase_view/25257269", "UA-2021-03-26-001734-a")</f>
        <v/>
      </c>
      <c r="C565" t="s" s="2">
        <v>3102</v>
      </c>
      <c r="D565" s="2">
        <f>HYPERLINK("https://my.zakupki.prom.ua/remote/dispatcher/state_contracting_view/8303976", "UA-2021-03-26-001734-a-a1")</f>
        <v/>
      </c>
      <c r="E565" t="s" s="1">
        <v>1283</v>
      </c>
      <c r="F565" t="s" s="1">
        <v>2835</v>
      </c>
      <c r="G565" t="s" s="1">
        <v>2835</v>
      </c>
      <c r="H565" t="s" s="1">
        <v>1065</v>
      </c>
      <c r="I565" t="s" s="1">
        <v>2178</v>
      </c>
      <c r="J565" t="s" s="1">
        <v>3309</v>
      </c>
      <c r="K565" t="s" s="1">
        <v>611</v>
      </c>
      <c r="L565" t="s" s="1">
        <v>3195</v>
      </c>
      <c r="M565" t="n" s="5">
        <v>1100.0</v>
      </c>
      <c r="N565" t="n" s="7">
        <v>44281.0</v>
      </c>
      <c r="O565" t="n" s="7">
        <v>44561.0</v>
      </c>
      <c r="P565" t="s" s="1">
        <v>3384</v>
      </c>
    </row>
    <row r="566" spans="1:16">
      <c r="A566" t="n" s="4">
        <v>562</v>
      </c>
      <c r="B566" s="2">
        <f>HYPERLINK("https://my.zakupki.prom.ua/remote/dispatcher/state_purchase_view/25255586", "UA-2021-03-26-000969-a")</f>
        <v/>
      </c>
      <c r="C566" t="s" s="2">
        <v>3102</v>
      </c>
      <c r="D566" s="2">
        <f>HYPERLINK("https://my.zakupki.prom.ua/remote/dispatcher/state_contracting_view/8277922", "UA-2021-03-26-000969-a-a1")</f>
        <v/>
      </c>
      <c r="E566" t="s" s="1">
        <v>643</v>
      </c>
      <c r="F566" t="s" s="1">
        <v>2838</v>
      </c>
      <c r="G566" t="s" s="1">
        <v>3503</v>
      </c>
      <c r="H566" t="s" s="1">
        <v>1068</v>
      </c>
      <c r="I566" t="s" s="1">
        <v>2178</v>
      </c>
      <c r="J566" t="s" s="1">
        <v>3309</v>
      </c>
      <c r="K566" t="s" s="1">
        <v>611</v>
      </c>
      <c r="L566" t="s" s="1">
        <v>3189</v>
      </c>
      <c r="M566" t="n" s="5">
        <v>699.0</v>
      </c>
      <c r="N566" t="n" s="7">
        <v>44281.0</v>
      </c>
      <c r="O566" t="n" s="7">
        <v>44561.0</v>
      </c>
      <c r="P566" t="s" s="1">
        <v>3384</v>
      </c>
    </row>
    <row r="567" spans="1:16">
      <c r="A567" t="n" s="4">
        <v>563</v>
      </c>
      <c r="B567" s="2">
        <f>HYPERLINK("https://my.zakupki.prom.ua/remote/dispatcher/state_purchase_view/25078851", "UA-2021-03-19-006399-c")</f>
        <v/>
      </c>
      <c r="C567" t="s" s="2">
        <v>3102</v>
      </c>
      <c r="D567" s="2">
        <f>HYPERLINK("https://my.zakupki.prom.ua/remote/dispatcher/state_contracting_view/8181088", "UA-2021-03-19-006399-c-a1")</f>
        <v/>
      </c>
      <c r="E567" t="s" s="1">
        <v>104</v>
      </c>
      <c r="F567" t="s" s="1">
        <v>2654</v>
      </c>
      <c r="G567" t="s" s="1">
        <v>3453</v>
      </c>
      <c r="H567" t="s" s="1">
        <v>774</v>
      </c>
      <c r="I567" t="s" s="1">
        <v>2178</v>
      </c>
      <c r="J567" t="s" s="1">
        <v>3266</v>
      </c>
      <c r="K567" t="s" s="1">
        <v>936</v>
      </c>
      <c r="L567" t="s" s="1">
        <v>543</v>
      </c>
      <c r="M567" t="n" s="5">
        <v>186216.0</v>
      </c>
      <c r="N567" t="n" s="7">
        <v>44274.0</v>
      </c>
      <c r="O567" t="n" s="7">
        <v>44561.0</v>
      </c>
      <c r="P567" t="s" s="1">
        <v>3384</v>
      </c>
    </row>
    <row r="568" spans="1:16">
      <c r="A568" t="n" s="4">
        <v>564</v>
      </c>
      <c r="B568" s="2">
        <f>HYPERLINK("https://my.zakupki.prom.ua/remote/dispatcher/state_purchase_view/25104500", "UA-2021-03-22-000483-a")</f>
        <v/>
      </c>
      <c r="C568" t="s" s="2">
        <v>3102</v>
      </c>
      <c r="D568" s="2">
        <f>HYPERLINK("https://my.zakupki.prom.ua/remote/dispatcher/state_contracting_view/8187286", "UA-2021-03-22-000483-a-a1")</f>
        <v/>
      </c>
      <c r="E568" t="s" s="1">
        <v>1413</v>
      </c>
      <c r="F568" t="s" s="1">
        <v>2387</v>
      </c>
      <c r="G568" t="s" s="1">
        <v>3392</v>
      </c>
      <c r="H568" t="s" s="1">
        <v>536</v>
      </c>
      <c r="I568" t="s" s="1">
        <v>2178</v>
      </c>
      <c r="J568" t="s" s="1">
        <v>3306</v>
      </c>
      <c r="K568" t="s" s="1">
        <v>996</v>
      </c>
      <c r="L568" t="s" s="1">
        <v>3069</v>
      </c>
      <c r="M568" t="n" s="5">
        <v>6560.0</v>
      </c>
      <c r="N568" t="n" s="7">
        <v>44277.0</v>
      </c>
      <c r="O568" t="n" s="7">
        <v>44561.0</v>
      </c>
      <c r="P568" t="s" s="1">
        <v>3384</v>
      </c>
    </row>
    <row r="569" spans="1:16">
      <c r="A569" t="n" s="4">
        <v>565</v>
      </c>
      <c r="B569" s="2">
        <f>HYPERLINK("https://my.zakupki.prom.ua/remote/dispatcher/state_purchase_view/24582733", "UA-2021-03-03-012330-c")</f>
        <v/>
      </c>
      <c r="C569" t="s" s="2">
        <v>3102</v>
      </c>
      <c r="D569" s="2">
        <f>HYPERLINK("https://my.zakupki.prom.ua/remote/dispatcher/state_contracting_view/8039072", "UA-2021-03-03-012330-c-c1")</f>
        <v/>
      </c>
      <c r="E569" t="s" s="1">
        <v>1937</v>
      </c>
      <c r="F569" t="s" s="1">
        <v>2932</v>
      </c>
      <c r="G569" t="s" s="1">
        <v>2932</v>
      </c>
      <c r="H569" t="s" s="1">
        <v>1317</v>
      </c>
      <c r="I569" t="s" s="1">
        <v>3143</v>
      </c>
      <c r="J569" t="s" s="1">
        <v>2122</v>
      </c>
      <c r="K569" t="s" s="1">
        <v>74</v>
      </c>
      <c r="L569" t="s" s="1">
        <v>329</v>
      </c>
      <c r="M569" t="n" s="5">
        <v>95904.0</v>
      </c>
      <c r="N569" t="n" s="7">
        <v>44266.0</v>
      </c>
      <c r="O569" t="n" s="7">
        <v>44561.0</v>
      </c>
      <c r="P569" t="s" s="1">
        <v>3384</v>
      </c>
    </row>
    <row r="570" spans="1:16">
      <c r="A570" t="n" s="4">
        <v>566</v>
      </c>
      <c r="B570" s="2">
        <f>HYPERLINK("https://my.zakupki.prom.ua/remote/dispatcher/state_purchase_view/24458555", "UA-2021-03-01-000333-a")</f>
        <v/>
      </c>
      <c r="C570" t="s" s="2">
        <v>3102</v>
      </c>
      <c r="D570" s="2">
        <f>HYPERLINK("https://my.zakupki.prom.ua/remote/dispatcher/state_contracting_view/7878306", "UA-2021-03-01-000333-a-a1")</f>
        <v/>
      </c>
      <c r="E570" t="s" s="1">
        <v>1348</v>
      </c>
      <c r="F570" t="s" s="1">
        <v>2746</v>
      </c>
      <c r="G570" t="s" s="1">
        <v>2746</v>
      </c>
      <c r="H570" t="s" s="1">
        <v>907</v>
      </c>
      <c r="I570" t="s" s="1">
        <v>2178</v>
      </c>
      <c r="J570" t="s" s="1">
        <v>2192</v>
      </c>
      <c r="K570" t="s" s="1">
        <v>679</v>
      </c>
      <c r="L570" t="s" s="1">
        <v>23</v>
      </c>
      <c r="M570" t="n" s="5">
        <v>17528.0</v>
      </c>
      <c r="N570" t="n" s="7">
        <v>44256.0</v>
      </c>
      <c r="O570" t="n" s="7">
        <v>44561.0</v>
      </c>
      <c r="P570" t="s" s="1">
        <v>3384</v>
      </c>
    </row>
    <row r="571" spans="1:16">
      <c r="A571" t="n" s="4">
        <v>567</v>
      </c>
      <c r="B571" s="2">
        <f>HYPERLINK("https://my.zakupki.prom.ua/remote/dispatcher/state_purchase_view/30679635", "UA-2021-10-11-008781-b")</f>
        <v/>
      </c>
      <c r="C571" t="s" s="2">
        <v>3102</v>
      </c>
      <c r="D571" s="2">
        <f>HYPERLINK("https://my.zakupki.prom.ua/remote/dispatcher/state_contracting_view/10812324", "UA-2021-10-11-008781-b-b1")</f>
        <v/>
      </c>
      <c r="E571" t="s" s="1">
        <v>1599</v>
      </c>
      <c r="F571" t="s" s="1">
        <v>2300</v>
      </c>
      <c r="G571" t="s" s="1">
        <v>2300</v>
      </c>
      <c r="H571" t="s" s="1">
        <v>276</v>
      </c>
      <c r="I571" t="s" s="1">
        <v>2178</v>
      </c>
      <c r="J571" t="s" s="1">
        <v>3356</v>
      </c>
      <c r="K571" t="s" s="1">
        <v>814</v>
      </c>
      <c r="L571" t="s" s="1">
        <v>1501</v>
      </c>
      <c r="M571" t="n" s="5">
        <v>13450.0</v>
      </c>
      <c r="N571" t="n" s="7">
        <v>44480.0</v>
      </c>
      <c r="O571" t="n" s="7">
        <v>44561.0</v>
      </c>
      <c r="P571" t="s" s="1">
        <v>3384</v>
      </c>
    </row>
    <row r="572" spans="1:16">
      <c r="A572" t="n" s="4">
        <v>568</v>
      </c>
      <c r="B572" s="2">
        <f>HYPERLINK("https://my.zakupki.prom.ua/remote/dispatcher/state_purchase_view/30528666", "UA-2021-10-06-005518-b")</f>
        <v/>
      </c>
      <c r="C572" t="s" s="2">
        <v>3102</v>
      </c>
      <c r="D572" s="2">
        <f>HYPERLINK("https://my.zakupki.prom.ua/remote/dispatcher/state_contracting_view/10753157", "UA-2021-10-06-005518-b-b1")</f>
        <v/>
      </c>
      <c r="E572" t="s" s="1">
        <v>2109</v>
      </c>
      <c r="F572" t="s" s="1">
        <v>2492</v>
      </c>
      <c r="G572" t="s" s="1">
        <v>2492</v>
      </c>
      <c r="H572" t="s" s="1">
        <v>758</v>
      </c>
      <c r="I572" t="s" s="1">
        <v>2178</v>
      </c>
      <c r="J572" t="s" s="1">
        <v>3159</v>
      </c>
      <c r="K572" t="s" s="1">
        <v>799</v>
      </c>
      <c r="L572" t="s" s="1">
        <v>1500</v>
      </c>
      <c r="M572" t="n" s="5">
        <v>118000.0</v>
      </c>
      <c r="N572" t="n" s="7">
        <v>44475.0</v>
      </c>
      <c r="O572" t="n" s="7">
        <v>44561.0</v>
      </c>
      <c r="P572" t="s" s="1">
        <v>3384</v>
      </c>
    </row>
    <row r="573" spans="1:16">
      <c r="A573" t="n" s="4">
        <v>569</v>
      </c>
      <c r="B573" s="2">
        <f>HYPERLINK("https://my.zakupki.prom.ua/remote/dispatcher/state_purchase_view/33826471", "UA-2021-12-29-003149-c")</f>
        <v/>
      </c>
      <c r="C573" t="s" s="2">
        <v>3102</v>
      </c>
      <c r="D573" s="2">
        <f>HYPERLINK("https://my.zakupki.prom.ua/remote/dispatcher/state_contracting_view/12290059", "UA-2021-12-29-003149-c-c1")</f>
        <v/>
      </c>
      <c r="E573" t="s" s="1">
        <v>1823</v>
      </c>
      <c r="F573" t="s" s="1">
        <v>2309</v>
      </c>
      <c r="G573" t="s" s="1">
        <v>2309</v>
      </c>
      <c r="H573" t="s" s="1">
        <v>278</v>
      </c>
      <c r="I573" t="s" s="1">
        <v>2178</v>
      </c>
      <c r="J573" t="s" s="1">
        <v>3356</v>
      </c>
      <c r="K573" t="s" s="1">
        <v>814</v>
      </c>
      <c r="L573" t="s" s="1">
        <v>1668</v>
      </c>
      <c r="M573" t="n" s="5">
        <v>2900.0</v>
      </c>
      <c r="N573" t="n" s="7">
        <v>44558.0</v>
      </c>
      <c r="O573" t="n" s="7">
        <v>44561.0</v>
      </c>
      <c r="P573" t="s" s="1">
        <v>3384</v>
      </c>
    </row>
    <row r="574" spans="1:16">
      <c r="A574" t="n" s="4">
        <v>570</v>
      </c>
      <c r="B574" s="2">
        <f>HYPERLINK("https://my.zakupki.prom.ua/remote/dispatcher/state_purchase_view/29482454", "UA-2021-09-02-006554-a")</f>
        <v/>
      </c>
      <c r="C574" t="s" s="2">
        <v>3102</v>
      </c>
      <c r="D574" s="2">
        <f>HYPERLINK("https://my.zakupki.prom.ua/remote/dispatcher/state_contracting_view/10263181", "UA-2021-09-02-006554-a-a1")</f>
        <v/>
      </c>
      <c r="E574" t="s" s="1">
        <v>1719</v>
      </c>
      <c r="F574" t="s" s="1">
        <v>2775</v>
      </c>
      <c r="G574" t="s" s="1">
        <v>2775</v>
      </c>
      <c r="H574" t="s" s="1">
        <v>924</v>
      </c>
      <c r="I574" t="s" s="1">
        <v>2178</v>
      </c>
      <c r="J574" t="s" s="1">
        <v>3309</v>
      </c>
      <c r="K574" t="s" s="1">
        <v>611</v>
      </c>
      <c r="L574" t="s" s="1">
        <v>3186</v>
      </c>
      <c r="M574" t="n" s="5">
        <v>914.0</v>
      </c>
      <c r="N574" t="n" s="7">
        <v>44441.0</v>
      </c>
      <c r="O574" t="n" s="7">
        <v>44561.0</v>
      </c>
      <c r="P574" t="s" s="1">
        <v>3384</v>
      </c>
    </row>
    <row r="575" spans="1:16">
      <c r="A575" t="n" s="4">
        <v>571</v>
      </c>
      <c r="B575" s="2">
        <f>HYPERLINK("https://my.zakupki.prom.ua/remote/dispatcher/state_purchase_view/29435560", "UA-2021-09-01-002483-a")</f>
        <v/>
      </c>
      <c r="C575" t="s" s="2">
        <v>3102</v>
      </c>
      <c r="D575" s="2">
        <f>HYPERLINK("https://my.zakupki.prom.ua/remote/dispatcher/state_contracting_view/10239477", "UA-2021-09-01-002483-a-a1")</f>
        <v/>
      </c>
      <c r="E575" t="s" s="1">
        <v>1822</v>
      </c>
      <c r="F575" t="s" s="1">
        <v>2776</v>
      </c>
      <c r="G575" t="s" s="1">
        <v>2776</v>
      </c>
      <c r="H575" t="s" s="1">
        <v>928</v>
      </c>
      <c r="I575" t="s" s="1">
        <v>2178</v>
      </c>
      <c r="J575" t="s" s="1">
        <v>3309</v>
      </c>
      <c r="K575" t="s" s="1">
        <v>611</v>
      </c>
      <c r="L575" t="s" s="1">
        <v>3180</v>
      </c>
      <c r="M575" t="n" s="5">
        <v>1815.0</v>
      </c>
      <c r="N575" t="n" s="7">
        <v>44440.0</v>
      </c>
      <c r="O575" t="n" s="7">
        <v>44561.0</v>
      </c>
      <c r="P575" t="s" s="1">
        <v>3384</v>
      </c>
    </row>
    <row r="576" spans="1:16">
      <c r="A576" t="n" s="4">
        <v>572</v>
      </c>
      <c r="B576" s="2">
        <f>HYPERLINK("https://my.zakupki.prom.ua/remote/dispatcher/state_purchase_view/29281824", "UA-2021-08-26-008682-a")</f>
        <v/>
      </c>
      <c r="C576" t="s" s="2">
        <v>3102</v>
      </c>
      <c r="D576" s="2">
        <f>HYPERLINK("https://my.zakupki.prom.ua/remote/dispatcher/state_contracting_view/10167730", "UA-2021-08-26-008682-a-a1")</f>
        <v/>
      </c>
      <c r="E576" t="s" s="1">
        <v>945</v>
      </c>
      <c r="F576" t="s" s="1">
        <v>2995</v>
      </c>
      <c r="G576" t="s" s="1">
        <v>2995</v>
      </c>
      <c r="H576" t="s" s="1">
        <v>1573</v>
      </c>
      <c r="I576" t="s" s="1">
        <v>2178</v>
      </c>
      <c r="J576" t="s" s="1">
        <v>3084</v>
      </c>
      <c r="K576" t="s" s="1">
        <v>36</v>
      </c>
      <c r="L576" t="s" s="1">
        <v>1242</v>
      </c>
      <c r="M576" t="n" s="5">
        <v>8012.0</v>
      </c>
      <c r="N576" t="n" s="7">
        <v>44434.0</v>
      </c>
      <c r="O576" t="n" s="7">
        <v>44561.0</v>
      </c>
      <c r="P576" t="s" s="1">
        <v>3384</v>
      </c>
    </row>
    <row r="577" spans="1:16">
      <c r="A577" t="n" s="4">
        <v>573</v>
      </c>
      <c r="B577" s="2">
        <f>HYPERLINK("https://my.zakupki.prom.ua/remote/dispatcher/state_purchase_view/32489214", "UA-2021-12-02-006143-c")</f>
        <v/>
      </c>
      <c r="C577" t="s" s="2">
        <v>3102</v>
      </c>
      <c r="D577" s="2">
        <f>HYPERLINK("https://my.zakupki.prom.ua/remote/dispatcher/state_contracting_view/11645664", "UA-2021-12-02-006143-c-c1")</f>
        <v/>
      </c>
      <c r="E577" t="s" s="1">
        <v>1699</v>
      </c>
      <c r="F577" t="s" s="1">
        <v>2305</v>
      </c>
      <c r="G577" t="s" s="1">
        <v>2305</v>
      </c>
      <c r="H577" t="s" s="1">
        <v>278</v>
      </c>
      <c r="I577" t="s" s="1">
        <v>2178</v>
      </c>
      <c r="J577" t="s" s="1">
        <v>3356</v>
      </c>
      <c r="K577" t="s" s="1">
        <v>814</v>
      </c>
      <c r="L577" t="s" s="1">
        <v>1625</v>
      </c>
      <c r="M577" t="n" s="5">
        <v>2780.0</v>
      </c>
      <c r="N577" t="n" s="7">
        <v>44532.0</v>
      </c>
      <c r="O577" t="n" s="7">
        <v>44561.0</v>
      </c>
      <c r="P577" t="s" s="1">
        <v>3384</v>
      </c>
    </row>
    <row r="578" spans="1:16">
      <c r="A578" t="n" s="4">
        <v>574</v>
      </c>
      <c r="B578" s="2">
        <f>HYPERLINK("https://my.zakupki.prom.ua/remote/dispatcher/state_purchase_view/32211223", "UA-2021-11-25-004377-a")</f>
        <v/>
      </c>
      <c r="C578" t="s" s="2">
        <v>3102</v>
      </c>
      <c r="D578" s="2">
        <f>HYPERLINK("https://my.zakupki.prom.ua/remote/dispatcher/state_contracting_view/11518012", "UA-2021-11-25-004377-a-a1")</f>
        <v/>
      </c>
      <c r="E578" t="s" s="1">
        <v>283</v>
      </c>
      <c r="F578" t="s" s="1">
        <v>2408</v>
      </c>
      <c r="G578" t="s" s="1">
        <v>2408</v>
      </c>
      <c r="H578" t="s" s="1">
        <v>657</v>
      </c>
      <c r="I578" t="s" s="1">
        <v>2178</v>
      </c>
      <c r="J578" t="s" s="1">
        <v>2148</v>
      </c>
      <c r="K578" t="s" s="1">
        <v>678</v>
      </c>
      <c r="L578" t="s" s="1">
        <v>1610</v>
      </c>
      <c r="M578" t="n" s="5">
        <v>1188.0</v>
      </c>
      <c r="N578" t="n" s="7">
        <v>44525.0</v>
      </c>
      <c r="O578" t="n" s="7">
        <v>44561.0</v>
      </c>
      <c r="P578" t="s" s="1">
        <v>3384</v>
      </c>
    </row>
    <row r="579" spans="1:16">
      <c r="A579" t="n" s="4">
        <v>575</v>
      </c>
      <c r="B579" s="2">
        <f>HYPERLINK("https://my.zakupki.prom.ua/remote/dispatcher/state_purchase_view/22908523", "UA-2021-01-12-000184-a")</f>
        <v/>
      </c>
      <c r="C579" t="s" s="2">
        <v>3102</v>
      </c>
      <c r="D579" s="2">
        <f>HYPERLINK("https://my.zakupki.prom.ua/remote/dispatcher/state_contracting_view/7206710", "UA-2021-01-12-000184-a-a1")</f>
        <v/>
      </c>
      <c r="E579" t="s" s="1">
        <v>1889</v>
      </c>
      <c r="F579" t="s" s="1">
        <v>2503</v>
      </c>
      <c r="G579" t="s" s="1">
        <v>2503</v>
      </c>
      <c r="H579" t="s" s="1">
        <v>759</v>
      </c>
      <c r="I579" t="s" s="1">
        <v>2178</v>
      </c>
      <c r="J579" t="s" s="1">
        <v>3277</v>
      </c>
      <c r="K579" t="s" s="1">
        <v>519</v>
      </c>
      <c r="L579" t="s" s="1">
        <v>1563</v>
      </c>
      <c r="M579" t="n" s="5">
        <v>507.0</v>
      </c>
      <c r="N579" t="n" s="7">
        <v>44208.0</v>
      </c>
      <c r="O579" t="n" s="7">
        <v>44561.0</v>
      </c>
      <c r="P579" t="s" s="1">
        <v>3384</v>
      </c>
    </row>
    <row r="580" spans="1:16">
      <c r="A580" t="n" s="4">
        <v>576</v>
      </c>
      <c r="B580" s="2">
        <f>HYPERLINK("https://my.zakupki.prom.ua/remote/dispatcher/state_purchase_view/27773628", "UA-2021-06-25-002410-c")</f>
        <v/>
      </c>
      <c r="C580" t="s" s="2">
        <v>3102</v>
      </c>
      <c r="D580" s="2">
        <f>HYPERLINK("https://my.zakupki.prom.ua/remote/dispatcher/state_contracting_view/9465460", "UA-2021-06-25-002410-c-c1")</f>
        <v/>
      </c>
      <c r="E580" t="s" s="1">
        <v>2008</v>
      </c>
      <c r="F580" t="s" s="1">
        <v>2325</v>
      </c>
      <c r="G580" t="s" s="1">
        <v>2325</v>
      </c>
      <c r="H580" t="s" s="1">
        <v>346</v>
      </c>
      <c r="I580" t="s" s="1">
        <v>2178</v>
      </c>
      <c r="J580" t="s" s="1">
        <v>3112</v>
      </c>
      <c r="K580" t="s" s="1">
        <v>802</v>
      </c>
      <c r="L580" t="s" s="1">
        <v>95</v>
      </c>
      <c r="M580" t="n" s="5">
        <v>756.0</v>
      </c>
      <c r="N580" t="n" s="7">
        <v>44372.0</v>
      </c>
      <c r="O580" t="n" s="7">
        <v>44561.0</v>
      </c>
      <c r="P580" t="s" s="1">
        <v>3384</v>
      </c>
    </row>
    <row r="581" spans="1:16">
      <c r="A581" t="n" s="4">
        <v>577</v>
      </c>
      <c r="B581" s="2">
        <f>HYPERLINK("https://my.zakupki.prom.ua/remote/dispatcher/state_purchase_view/27061710", "UA-2021-06-01-007470-b")</f>
        <v/>
      </c>
      <c r="C581" t="s" s="2">
        <v>3102</v>
      </c>
      <c r="D581" s="2">
        <f>HYPERLINK("https://my.zakupki.prom.ua/remote/dispatcher/state_contracting_view/9125909", "UA-2021-06-01-007470-b-b1")</f>
        <v/>
      </c>
      <c r="E581" t="s" s="1">
        <v>81</v>
      </c>
      <c r="F581" t="s" s="1">
        <v>2498</v>
      </c>
      <c r="G581" t="s" s="1">
        <v>3370</v>
      </c>
      <c r="H581" t="s" s="1">
        <v>759</v>
      </c>
      <c r="I581" t="s" s="1">
        <v>2178</v>
      </c>
      <c r="J581" t="s" s="1">
        <v>3285</v>
      </c>
      <c r="K581" t="s" s="1">
        <v>463</v>
      </c>
      <c r="L581" t="s" s="1">
        <v>547</v>
      </c>
      <c r="M581" t="n" s="5">
        <v>4376.3</v>
      </c>
      <c r="N581" t="n" s="7">
        <v>44348.0</v>
      </c>
      <c r="O581" t="n" s="7">
        <v>44561.0</v>
      </c>
      <c r="P581" t="s" s="1">
        <v>3384</v>
      </c>
    </row>
    <row r="582" spans="1:16">
      <c r="A582" t="n" s="4">
        <v>578</v>
      </c>
      <c r="B582" s="2">
        <f>HYPERLINK("https://my.zakupki.prom.ua/remote/dispatcher/state_purchase_view/28200626", "UA-2021-07-13-008748-c")</f>
        <v/>
      </c>
      <c r="C582" t="s" s="2">
        <v>3102</v>
      </c>
      <c r="D582" s="2">
        <f>HYPERLINK("https://my.zakupki.prom.ua/remote/dispatcher/state_contracting_view/9661354", "UA-2021-07-13-008748-c-c1")</f>
        <v/>
      </c>
      <c r="E582" t="s" s="1">
        <v>228</v>
      </c>
      <c r="F582" t="s" s="1">
        <v>2471</v>
      </c>
      <c r="G582" t="s" s="1">
        <v>2471</v>
      </c>
      <c r="H582" t="s" s="1">
        <v>736</v>
      </c>
      <c r="I582" t="s" s="1">
        <v>2178</v>
      </c>
      <c r="J582" t="s" s="1">
        <v>3267</v>
      </c>
      <c r="K582" t="s" s="1">
        <v>1041</v>
      </c>
      <c r="L582" t="s" s="1">
        <v>502</v>
      </c>
      <c r="M582" t="n" s="5">
        <v>37071.0</v>
      </c>
      <c r="N582" t="n" s="7">
        <v>44390.0</v>
      </c>
      <c r="O582" t="n" s="7">
        <v>44561.0</v>
      </c>
      <c r="P582" t="s" s="1">
        <v>3384</v>
      </c>
    </row>
    <row r="583" spans="1:16">
      <c r="A583" t="n" s="4">
        <v>579</v>
      </c>
      <c r="B583" s="2">
        <f>HYPERLINK("https://my.zakupki.prom.ua/remote/dispatcher/state_purchase_view/27771649", "UA-2021-06-25-001886-c")</f>
        <v/>
      </c>
      <c r="C583" t="s" s="2">
        <v>3102</v>
      </c>
      <c r="D583" s="2">
        <f>HYPERLINK("https://my.zakupki.prom.ua/remote/dispatcher/state_contracting_view/9465959", "UA-2021-06-25-001886-c-c1")</f>
        <v/>
      </c>
      <c r="E583" t="s" s="1">
        <v>16</v>
      </c>
      <c r="F583" t="s" s="1">
        <v>2850</v>
      </c>
      <c r="G583" t="s" s="1">
        <v>2850</v>
      </c>
      <c r="H583" t="s" s="1">
        <v>1073</v>
      </c>
      <c r="I583" t="s" s="1">
        <v>2178</v>
      </c>
      <c r="J583" t="s" s="1">
        <v>3112</v>
      </c>
      <c r="K583" t="s" s="1">
        <v>802</v>
      </c>
      <c r="L583" t="s" s="1">
        <v>69</v>
      </c>
      <c r="M583" t="n" s="5">
        <v>785.0</v>
      </c>
      <c r="N583" t="n" s="7">
        <v>44372.0</v>
      </c>
      <c r="O583" t="n" s="7">
        <v>44561.0</v>
      </c>
      <c r="P583" t="s" s="1">
        <v>3384</v>
      </c>
    </row>
    <row r="584" spans="1:16">
      <c r="A584" t="n" s="4">
        <v>580</v>
      </c>
      <c r="B584" s="2">
        <f>HYPERLINK("https://my.zakupki.prom.ua/remote/dispatcher/state_purchase_view/33166953", "UA-2021-12-15-017956-c")</f>
        <v/>
      </c>
      <c r="C584" t="s" s="2">
        <v>3102</v>
      </c>
      <c r="D584" s="2">
        <f>HYPERLINK("https://my.zakupki.prom.ua/remote/dispatcher/state_contracting_view/12180515", "UA-2021-12-15-017956-c-c1")</f>
        <v/>
      </c>
      <c r="E584" t="s" s="1">
        <v>1053</v>
      </c>
      <c r="F584" t="s" s="1">
        <v>2239</v>
      </c>
      <c r="G584" t="s" s="1">
        <v>2239</v>
      </c>
      <c r="H584" t="s" s="1">
        <v>100</v>
      </c>
      <c r="I584" t="s" s="1">
        <v>3143</v>
      </c>
      <c r="J584" t="s" s="1">
        <v>3263</v>
      </c>
      <c r="K584" t="s" s="1">
        <v>866</v>
      </c>
      <c r="L584" t="s" s="1">
        <v>1662</v>
      </c>
      <c r="M584" t="n" s="5">
        <v>42300.0</v>
      </c>
      <c r="N584" t="n" s="7">
        <v>44553.0</v>
      </c>
      <c r="O584" t="n" s="7">
        <v>44561.0</v>
      </c>
      <c r="P584" t="s" s="1">
        <v>3384</v>
      </c>
    </row>
    <row r="585" spans="1:16">
      <c r="A585" t="n" s="4">
        <v>581</v>
      </c>
      <c r="B585" s="2">
        <f>HYPERLINK("https://my.zakupki.prom.ua/remote/dispatcher/state_purchase_view/30100793", "UA-2021-09-22-003320-b")</f>
        <v/>
      </c>
      <c r="C585" t="s" s="2">
        <v>3102</v>
      </c>
      <c r="D585" s="2">
        <f>HYPERLINK("https://my.zakupki.prom.ua/remote/dispatcher/state_contracting_view/10547103", "UA-2021-09-22-003320-b-b1")</f>
        <v/>
      </c>
      <c r="E585" t="s" s="1">
        <v>1145</v>
      </c>
      <c r="F585" t="s" s="1">
        <v>3029</v>
      </c>
      <c r="G585" t="s" s="1">
        <v>3029</v>
      </c>
      <c r="H585" t="s" s="1">
        <v>1713</v>
      </c>
      <c r="I585" t="s" s="1">
        <v>2178</v>
      </c>
      <c r="J585" t="s" s="1">
        <v>3229</v>
      </c>
      <c r="K585" t="s" s="1">
        <v>933</v>
      </c>
      <c r="L585" t="s" s="1">
        <v>1166</v>
      </c>
      <c r="M585" t="n" s="5">
        <v>100000.0</v>
      </c>
      <c r="N585" t="n" s="7">
        <v>44461.0</v>
      </c>
      <c r="O585" t="n" s="7">
        <v>44561.0</v>
      </c>
      <c r="P585" t="s" s="1">
        <v>3384</v>
      </c>
    </row>
    <row r="586" spans="1:16">
      <c r="A586" t="n" s="4">
        <v>582</v>
      </c>
      <c r="B586" s="2">
        <f>HYPERLINK("https://my.zakupki.prom.ua/remote/dispatcher/state_purchase_view/30110019", "UA-2021-09-22-005909-b")</f>
        <v/>
      </c>
      <c r="C586" t="s" s="2">
        <v>3102</v>
      </c>
      <c r="D586" s="2">
        <f>HYPERLINK("https://my.zakupki.prom.ua/remote/dispatcher/state_contracting_view/10551184", "UA-2021-09-22-005909-b-b1")</f>
        <v/>
      </c>
      <c r="E586" t="s" s="1">
        <v>1866</v>
      </c>
      <c r="F586" t="s" s="1">
        <v>2558</v>
      </c>
      <c r="G586" t="s" s="1">
        <v>2557</v>
      </c>
      <c r="H586" t="s" s="1">
        <v>763</v>
      </c>
      <c r="I586" t="s" s="1">
        <v>2178</v>
      </c>
      <c r="J586" t="s" s="1">
        <v>3346</v>
      </c>
      <c r="K586" t="s" s="1">
        <v>792</v>
      </c>
      <c r="L586" t="s" s="1">
        <v>1468</v>
      </c>
      <c r="M586" t="n" s="5">
        <v>260000.0</v>
      </c>
      <c r="N586" t="n" s="7">
        <v>44461.0</v>
      </c>
      <c r="O586" t="n" s="7">
        <v>44561.0</v>
      </c>
      <c r="P586" t="s" s="1">
        <v>3384</v>
      </c>
    </row>
    <row r="587" spans="1:16">
      <c r="A587" t="n" s="4">
        <v>583</v>
      </c>
      <c r="B587" s="2">
        <f>HYPERLINK("https://my.zakupki.prom.ua/remote/dispatcher/state_purchase_view/27823049", "UA-2021-06-29-005388-c")</f>
        <v/>
      </c>
      <c r="C587" t="s" s="2">
        <v>3102</v>
      </c>
      <c r="D587" s="2">
        <f>HYPERLINK("https://my.zakupki.prom.ua/remote/dispatcher/state_contracting_view/9484551", "UA-2021-06-29-005388-c-c1")</f>
        <v/>
      </c>
      <c r="E587" t="s" s="1">
        <v>1826</v>
      </c>
      <c r="F587" t="s" s="1">
        <v>2969</v>
      </c>
      <c r="G587" t="s" s="1">
        <v>2969</v>
      </c>
      <c r="H587" t="s" s="1">
        <v>1453</v>
      </c>
      <c r="I587" t="s" s="1">
        <v>2178</v>
      </c>
      <c r="J587" t="s" s="1">
        <v>3299</v>
      </c>
      <c r="K587" t="s" s="1">
        <v>838</v>
      </c>
      <c r="L587" t="s" s="1">
        <v>1337</v>
      </c>
      <c r="M587" t="n" s="5">
        <v>3684.79</v>
      </c>
      <c r="N587" t="n" s="7">
        <v>44376.0</v>
      </c>
      <c r="O587" t="n" s="7">
        <v>44561.0</v>
      </c>
      <c r="P587" t="s" s="1">
        <v>3384</v>
      </c>
    </row>
    <row r="588" spans="1:16">
      <c r="A588" t="n" s="4">
        <v>584</v>
      </c>
      <c r="B588" s="2">
        <f>HYPERLINK("https://my.zakupki.prom.ua/remote/dispatcher/state_purchase_view/26547348", "UA-2021-05-14-007314-c")</f>
        <v/>
      </c>
      <c r="C588" t="s" s="2">
        <v>3102</v>
      </c>
      <c r="D588" s="2">
        <f>HYPERLINK("https://my.zakupki.prom.ua/remote/dispatcher/state_contracting_view/9154346", "UA-2021-05-14-007314-c-b1")</f>
        <v/>
      </c>
      <c r="E588" t="s" s="1">
        <v>1547</v>
      </c>
      <c r="F588" t="s" s="1">
        <v>2264</v>
      </c>
      <c r="G588" t="s" s="1">
        <v>2264</v>
      </c>
      <c r="H588" t="s" s="1">
        <v>255</v>
      </c>
      <c r="I588" t="s" s="1">
        <v>3171</v>
      </c>
      <c r="J588" t="s" s="1">
        <v>3326</v>
      </c>
      <c r="K588" t="s" s="1">
        <v>592</v>
      </c>
      <c r="L588" t="s" s="1">
        <v>1256</v>
      </c>
      <c r="M588" t="n" s="5">
        <v>84640.0</v>
      </c>
      <c r="N588" t="n" s="7">
        <v>44350.0</v>
      </c>
      <c r="O588" t="n" s="7">
        <v>44561.0</v>
      </c>
      <c r="P588" t="s" s="1">
        <v>3384</v>
      </c>
    </row>
    <row r="589" spans="1:16">
      <c r="A589" t="n" s="4">
        <v>585</v>
      </c>
      <c r="B589" s="2">
        <f>HYPERLINK("https://my.zakupki.prom.ua/remote/dispatcher/state_purchase_view/27298147", "UA-2021-06-09-000794-b")</f>
        <v/>
      </c>
      <c r="C589" t="s" s="2">
        <v>3102</v>
      </c>
      <c r="D589" s="2">
        <f>HYPERLINK("https://my.zakupki.prom.ua/remote/dispatcher/state_contracting_view/9232527", "UA-2021-06-09-000794-b-b1")</f>
        <v/>
      </c>
      <c r="E589" t="s" s="1">
        <v>1333</v>
      </c>
      <c r="F589" t="s" s="1">
        <v>2548</v>
      </c>
      <c r="G589" t="s" s="1">
        <v>2548</v>
      </c>
      <c r="H589" t="s" s="1">
        <v>762</v>
      </c>
      <c r="I589" t="s" s="1">
        <v>2178</v>
      </c>
      <c r="J589" t="s" s="1">
        <v>3126</v>
      </c>
      <c r="K589" t="s" s="1">
        <v>564</v>
      </c>
      <c r="L589" t="s" s="1">
        <v>1268</v>
      </c>
      <c r="M589" t="n" s="5">
        <v>1800.0</v>
      </c>
      <c r="N589" t="n" s="7">
        <v>44356.0</v>
      </c>
      <c r="O589" t="n" s="7">
        <v>44561.0</v>
      </c>
      <c r="P589" t="s" s="1">
        <v>3384</v>
      </c>
    </row>
    <row r="590" spans="1:16">
      <c r="A590" t="n" s="4">
        <v>586</v>
      </c>
      <c r="B590" s="2">
        <f>HYPERLINK("https://my.zakupki.prom.ua/remote/dispatcher/state_purchase_view/31291984", "UA-2021-11-01-007734-a")</f>
        <v/>
      </c>
      <c r="C590" t="s" s="2">
        <v>3102</v>
      </c>
      <c r="D590" s="2">
        <f>HYPERLINK("https://my.zakupki.prom.ua/remote/dispatcher/state_contracting_view/11093773", "UA-2021-11-01-007734-a-a1")</f>
        <v/>
      </c>
      <c r="E590" t="s" s="1">
        <v>578</v>
      </c>
      <c r="F590" t="s" s="1">
        <v>2339</v>
      </c>
      <c r="G590" t="s" s="1">
        <v>2339</v>
      </c>
      <c r="H590" t="s" s="1">
        <v>377</v>
      </c>
      <c r="I590" t="s" s="1">
        <v>2178</v>
      </c>
      <c r="J590" t="s" s="1">
        <v>3240</v>
      </c>
      <c r="K590" t="s" s="1">
        <v>996</v>
      </c>
      <c r="L590" t="s" s="1">
        <v>3060</v>
      </c>
      <c r="M590" t="n" s="5">
        <v>11291.0</v>
      </c>
      <c r="N590" t="n" s="7">
        <v>44501.0</v>
      </c>
      <c r="O590" t="n" s="7">
        <v>44561.0</v>
      </c>
      <c r="P590" t="s" s="1">
        <v>3384</v>
      </c>
    </row>
    <row r="591" spans="1:16">
      <c r="A591" t="n" s="4">
        <v>587</v>
      </c>
      <c r="B591" s="2">
        <f>HYPERLINK("https://my.zakupki.prom.ua/remote/dispatcher/state_purchase_view/33825454", "UA-2021-12-29-002834-c")</f>
        <v/>
      </c>
      <c r="C591" t="s" s="2">
        <v>3102</v>
      </c>
      <c r="D591" s="2">
        <f>HYPERLINK("https://my.zakupki.prom.ua/remote/dispatcher/state_contracting_view/12288835", "UA-2021-12-29-002834-c-c1")</f>
        <v/>
      </c>
      <c r="E591" t="s" s="1">
        <v>1769</v>
      </c>
      <c r="F591" t="s" s="1">
        <v>2449</v>
      </c>
      <c r="G591" t="s" s="1">
        <v>2449</v>
      </c>
      <c r="H591" t="s" s="1">
        <v>706</v>
      </c>
      <c r="I591" t="s" s="1">
        <v>2178</v>
      </c>
      <c r="J591" t="s" s="1">
        <v>3097</v>
      </c>
      <c r="K591" t="s" s="1">
        <v>562</v>
      </c>
      <c r="L591" t="s" s="1">
        <v>1675</v>
      </c>
      <c r="M591" t="n" s="5">
        <v>1200.0</v>
      </c>
      <c r="N591" t="n" s="7">
        <v>44558.0</v>
      </c>
      <c r="O591" t="n" s="7">
        <v>44561.0</v>
      </c>
      <c r="P591" t="s" s="1">
        <v>3384</v>
      </c>
    </row>
    <row r="592" spans="1:16">
      <c r="A592" t="n" s="4">
        <v>588</v>
      </c>
      <c r="B592" s="2">
        <f>HYPERLINK("https://my.zakupki.prom.ua/remote/dispatcher/state_purchase_view/23755378", "UA-2021-02-08-004816-a")</f>
        <v/>
      </c>
      <c r="C592" t="s" s="2">
        <v>3102</v>
      </c>
      <c r="D592" s="2">
        <f>HYPERLINK("https://my.zakupki.prom.ua/remote/dispatcher/state_contracting_view/7551215", "UA-2021-02-08-004816-a-a1")</f>
        <v/>
      </c>
      <c r="E592" t="s" s="1">
        <v>1014</v>
      </c>
      <c r="F592" t="s" s="1">
        <v>3035</v>
      </c>
      <c r="G592" t="s" s="1">
        <v>3035</v>
      </c>
      <c r="H592" t="s" s="1">
        <v>1759</v>
      </c>
      <c r="I592" t="s" s="1">
        <v>2178</v>
      </c>
      <c r="J592" t="s" s="1">
        <v>3333</v>
      </c>
      <c r="K592" t="s" s="1">
        <v>697</v>
      </c>
      <c r="L592" t="s" s="1">
        <v>1601</v>
      </c>
      <c r="M592" t="n" s="5">
        <v>12000.0</v>
      </c>
      <c r="N592" t="n" s="7">
        <v>44235.0</v>
      </c>
      <c r="O592" t="n" s="7">
        <v>44561.0</v>
      </c>
      <c r="P592" t="s" s="1">
        <v>3384</v>
      </c>
    </row>
    <row r="593" spans="1:16">
      <c r="A593" t="n" s="4">
        <v>589</v>
      </c>
      <c r="B593" s="2">
        <f>HYPERLINK("https://my.zakupki.prom.ua/remote/dispatcher/state_purchase_view/22938518", "UA-2021-01-13-003580-a")</f>
        <v/>
      </c>
      <c r="C593" t="s" s="2">
        <v>3102</v>
      </c>
      <c r="D593" s="2">
        <f>HYPERLINK("https://my.zakupki.prom.ua/remote/dispatcher/state_contracting_view/7216259", "UA-2021-01-13-003580-a-a1")</f>
        <v/>
      </c>
      <c r="E593" t="s" s="1">
        <v>1557</v>
      </c>
      <c r="F593" t="s" s="1">
        <v>2607</v>
      </c>
      <c r="G593" t="s" s="1">
        <v>2606</v>
      </c>
      <c r="H593" t="s" s="1">
        <v>774</v>
      </c>
      <c r="I593" t="s" s="1">
        <v>2178</v>
      </c>
      <c r="J593" t="s" s="1">
        <v>3277</v>
      </c>
      <c r="K593" t="s" s="1">
        <v>519</v>
      </c>
      <c r="L593" t="s" s="1">
        <v>835</v>
      </c>
      <c r="M593" t="n" s="5">
        <v>173.18</v>
      </c>
      <c r="N593" t="n" s="7">
        <v>44209.0</v>
      </c>
      <c r="O593" t="n" s="7">
        <v>44561.0</v>
      </c>
      <c r="P593" t="s" s="1">
        <v>3384</v>
      </c>
    </row>
    <row r="594" spans="1:16">
      <c r="A594" t="n" s="4">
        <v>590</v>
      </c>
      <c r="B594" s="2">
        <f>HYPERLINK("https://my.zakupki.prom.ua/remote/dispatcher/state_purchase_view/22936059", "UA-2021-01-13-002778-a")</f>
        <v/>
      </c>
      <c r="C594" t="s" s="2">
        <v>3102</v>
      </c>
      <c r="D594" s="2">
        <f>HYPERLINK("https://my.zakupki.prom.ua/remote/dispatcher/state_contracting_view/7215276", "UA-2021-01-13-002778-a-a1")</f>
        <v/>
      </c>
      <c r="E594" t="s" s="1">
        <v>1300</v>
      </c>
      <c r="F594" t="s" s="1">
        <v>2883</v>
      </c>
      <c r="G594" t="s" s="1">
        <v>2883</v>
      </c>
      <c r="H594" t="s" s="1">
        <v>1083</v>
      </c>
      <c r="I594" t="s" s="1">
        <v>2178</v>
      </c>
      <c r="J594" t="s" s="1">
        <v>3112</v>
      </c>
      <c r="K594" t="s" s="1">
        <v>802</v>
      </c>
      <c r="L594" t="s" s="1">
        <v>499</v>
      </c>
      <c r="M594" t="n" s="5">
        <v>2316.75</v>
      </c>
      <c r="N594" t="n" s="7">
        <v>44209.0</v>
      </c>
      <c r="O594" t="n" s="7">
        <v>44561.0</v>
      </c>
      <c r="P594" t="s" s="1">
        <v>3384</v>
      </c>
    </row>
    <row r="595" spans="1:16">
      <c r="A595" t="n" s="4">
        <v>591</v>
      </c>
      <c r="B595" s="2">
        <f>HYPERLINK("https://my.zakupki.prom.ua/remote/dispatcher/state_purchase_view/22935910", "UA-2021-01-13-002693-a")</f>
        <v/>
      </c>
      <c r="C595" t="s" s="2">
        <v>3102</v>
      </c>
      <c r="D595" s="2">
        <f>HYPERLINK("https://my.zakupki.prom.ua/remote/dispatcher/state_contracting_view/7215159", "UA-2021-01-13-002693-a-a1")</f>
        <v/>
      </c>
      <c r="E595" t="s" s="1">
        <v>2065</v>
      </c>
      <c r="F595" t="s" s="1">
        <v>2393</v>
      </c>
      <c r="G595" t="s" s="1">
        <v>2393</v>
      </c>
      <c r="H595" t="s" s="1">
        <v>548</v>
      </c>
      <c r="I595" t="s" s="1">
        <v>2178</v>
      </c>
      <c r="J595" t="s" s="1">
        <v>3112</v>
      </c>
      <c r="K595" t="s" s="1">
        <v>802</v>
      </c>
      <c r="L595" t="s" s="1">
        <v>472</v>
      </c>
      <c r="M595" t="n" s="5">
        <v>211.6</v>
      </c>
      <c r="N595" t="n" s="7">
        <v>44209.0</v>
      </c>
      <c r="O595" t="n" s="7">
        <v>44561.0</v>
      </c>
      <c r="P595" t="s" s="1">
        <v>3384</v>
      </c>
    </row>
    <row r="596" spans="1:16">
      <c r="A596" t="n" s="4">
        <v>592</v>
      </c>
      <c r="B596" s="2">
        <f>HYPERLINK("https://my.zakupki.prom.ua/remote/dispatcher/state_purchase_view/22908398", "UA-2021-01-12-000158-a")</f>
        <v/>
      </c>
      <c r="C596" t="s" s="2">
        <v>3102</v>
      </c>
      <c r="D596" s="2">
        <f>HYPERLINK("https://my.zakupki.prom.ua/remote/dispatcher/state_contracting_view/7206616", "UA-2021-01-12-000158-a-a1")</f>
        <v/>
      </c>
      <c r="E596" t="s" s="1">
        <v>139</v>
      </c>
      <c r="F596" t="s" s="1">
        <v>2614</v>
      </c>
      <c r="G596" t="s" s="1">
        <v>3377</v>
      </c>
      <c r="H596" t="s" s="1">
        <v>774</v>
      </c>
      <c r="I596" t="s" s="1">
        <v>2178</v>
      </c>
      <c r="J596" t="s" s="1">
        <v>3277</v>
      </c>
      <c r="K596" t="s" s="1">
        <v>519</v>
      </c>
      <c r="L596" t="s" s="1">
        <v>1429</v>
      </c>
      <c r="M596" t="n" s="5">
        <v>647.06</v>
      </c>
      <c r="N596" t="n" s="7">
        <v>44208.0</v>
      </c>
      <c r="O596" t="n" s="7">
        <v>44561.0</v>
      </c>
      <c r="P596" t="s" s="1">
        <v>3384</v>
      </c>
    </row>
    <row r="597" spans="1:16">
      <c r="A597" t="n" s="4">
        <v>593</v>
      </c>
      <c r="B597" s="2">
        <f>HYPERLINK("https://my.zakupki.prom.ua/remote/dispatcher/state_purchase_view/22864398", "UA-2021-01-05-001677-c")</f>
        <v/>
      </c>
      <c r="C597" t="s" s="2">
        <v>3102</v>
      </c>
      <c r="D597" s="2">
        <f>HYPERLINK("https://my.zakupki.prom.ua/remote/dispatcher/state_contracting_view/7192002", "UA-2021-01-05-001677-c-c1")</f>
        <v/>
      </c>
      <c r="E597" t="s" s="1">
        <v>1741</v>
      </c>
      <c r="F597" t="s" s="1">
        <v>3016</v>
      </c>
      <c r="G597" t="s" s="1">
        <v>3016</v>
      </c>
      <c r="H597" t="s" s="1">
        <v>1632</v>
      </c>
      <c r="I597" t="s" s="1">
        <v>2178</v>
      </c>
      <c r="J597" t="s" s="1">
        <v>3277</v>
      </c>
      <c r="K597" t="s" s="1">
        <v>519</v>
      </c>
      <c r="L597" t="s" s="1">
        <v>649</v>
      </c>
      <c r="M597" t="n" s="5">
        <v>40000.0</v>
      </c>
      <c r="N597" t="n" s="7">
        <v>44200.0</v>
      </c>
      <c r="O597" t="n" s="7">
        <v>44561.0</v>
      </c>
      <c r="P597" t="s" s="1">
        <v>3384</v>
      </c>
    </row>
    <row r="598" spans="1:16">
      <c r="A598" t="n" s="4">
        <v>594</v>
      </c>
      <c r="B598" s="2">
        <f>HYPERLINK("https://my.zakupki.prom.ua/remote/dispatcher/state_purchase_view/23341553", "UA-2021-01-27-010255-b")</f>
        <v/>
      </c>
      <c r="C598" t="s" s="2">
        <v>3102</v>
      </c>
      <c r="D598" s="2">
        <f>HYPERLINK("https://my.zakupki.prom.ua/remote/dispatcher/state_contracting_view/7596162", "UA-2021-01-27-010255-b-b1")</f>
        <v/>
      </c>
      <c r="E598" t="s" s="1">
        <v>862</v>
      </c>
      <c r="F598" t="s" s="1">
        <v>2238</v>
      </c>
      <c r="G598" t="s" s="1">
        <v>2238</v>
      </c>
      <c r="H598" t="s" s="1">
        <v>99</v>
      </c>
      <c r="I598" t="s" s="1">
        <v>3143</v>
      </c>
      <c r="J598" t="s" s="1">
        <v>3283</v>
      </c>
      <c r="K598" t="s" s="1">
        <v>1005</v>
      </c>
      <c r="L598" t="s" s="1">
        <v>1720</v>
      </c>
      <c r="M598" t="n" s="5">
        <v>572000.0</v>
      </c>
      <c r="N598" t="n" s="7">
        <v>44236.0</v>
      </c>
      <c r="O598" t="n" s="7">
        <v>44561.0</v>
      </c>
      <c r="P598" t="s" s="1">
        <v>3384</v>
      </c>
    </row>
    <row r="599" spans="1:16">
      <c r="A599" t="n" s="4">
        <v>595</v>
      </c>
      <c r="B599" s="2">
        <f>HYPERLINK("https://my.zakupki.prom.ua/remote/dispatcher/state_purchase_view/23323037", "UA-2021-01-27-005443-b")</f>
        <v/>
      </c>
      <c r="C599" t="s" s="2">
        <v>3102</v>
      </c>
      <c r="D599" s="2">
        <f>HYPERLINK("https://my.zakupki.prom.ua/remote/dispatcher/state_contracting_view/7368899", "UA-2021-01-27-005443-b-b1")</f>
        <v/>
      </c>
      <c r="E599" t="s" s="1">
        <v>1698</v>
      </c>
      <c r="F599" t="s" s="1">
        <v>2929</v>
      </c>
      <c r="G599" t="s" s="1">
        <v>2929</v>
      </c>
      <c r="H599" t="s" s="1">
        <v>1183</v>
      </c>
      <c r="I599" t="s" s="1">
        <v>2178</v>
      </c>
      <c r="J599" t="s" s="1">
        <v>3300</v>
      </c>
      <c r="K599" t="s" s="1">
        <v>894</v>
      </c>
      <c r="L599" t="s" s="1">
        <v>235</v>
      </c>
      <c r="M599" t="n" s="5">
        <v>8800.0</v>
      </c>
      <c r="N599" t="n" s="7">
        <v>44223.0</v>
      </c>
      <c r="O599" t="n" s="7">
        <v>44561.0</v>
      </c>
      <c r="P599" t="s" s="1">
        <v>3384</v>
      </c>
    </row>
    <row r="600" spans="1:16">
      <c r="A600" t="n" s="4">
        <v>596</v>
      </c>
      <c r="B600" s="2">
        <f>HYPERLINK("https://my.zakupki.prom.ua/remote/dispatcher/state_purchase_view/25341050", "UA-2021-03-29-001310-b")</f>
        <v/>
      </c>
      <c r="C600" t="s" s="2">
        <v>3102</v>
      </c>
      <c r="D600" s="2">
        <f>HYPERLINK("https://my.zakupki.prom.ua/remote/dispatcher/state_contracting_view/8304091", "UA-2021-03-29-001310-b-b1")</f>
        <v/>
      </c>
      <c r="E600" t="s" s="1">
        <v>667</v>
      </c>
      <c r="F600" t="s" s="1">
        <v>2936</v>
      </c>
      <c r="G600" t="s" s="1">
        <v>2936</v>
      </c>
      <c r="H600" t="s" s="1">
        <v>1345</v>
      </c>
      <c r="I600" t="s" s="1">
        <v>2178</v>
      </c>
      <c r="J600" t="s" s="1">
        <v>3295</v>
      </c>
      <c r="K600" t="s" s="1">
        <v>878</v>
      </c>
      <c r="L600" t="s" s="1">
        <v>342</v>
      </c>
      <c r="M600" t="n" s="5">
        <v>5400.0</v>
      </c>
      <c r="N600" t="n" s="7">
        <v>44284.0</v>
      </c>
      <c r="O600" t="n" s="7">
        <v>44561.0</v>
      </c>
      <c r="P600" t="s" s="1">
        <v>3384</v>
      </c>
    </row>
    <row r="601" spans="1:16">
      <c r="A601" t="n" s="4">
        <v>597</v>
      </c>
      <c r="B601" s="2">
        <f>HYPERLINK("https://my.zakupki.prom.ua/remote/dispatcher/state_purchase_view/33303851", "UA-2021-12-17-010395-c")</f>
        <v/>
      </c>
      <c r="C601" t="s" s="2">
        <v>3102</v>
      </c>
      <c r="D601" s="2">
        <f>HYPERLINK("https://my.zakupki.prom.ua/remote/dispatcher/state_contracting_view/12031042", "UA-2021-12-17-010395-c-c1")</f>
        <v/>
      </c>
      <c r="E601" t="s" s="1">
        <v>607</v>
      </c>
      <c r="F601" t="s" s="1">
        <v>2586</v>
      </c>
      <c r="G601" t="s" s="1">
        <v>3151</v>
      </c>
      <c r="H601" t="s" s="1">
        <v>774</v>
      </c>
      <c r="I601" t="s" s="1">
        <v>2178</v>
      </c>
      <c r="J601" t="s" s="1">
        <v>3216</v>
      </c>
      <c r="K601" t="s" s="1">
        <v>519</v>
      </c>
      <c r="L601" t="s" s="1">
        <v>1652</v>
      </c>
      <c r="M601" t="n" s="5">
        <v>3375.7</v>
      </c>
      <c r="N601" t="n" s="7">
        <v>44547.0</v>
      </c>
      <c r="O601" t="n" s="7">
        <v>44561.0</v>
      </c>
      <c r="P601" t="s" s="1">
        <v>3384</v>
      </c>
    </row>
    <row r="602" spans="1:16">
      <c r="A602" t="n" s="4">
        <v>598</v>
      </c>
      <c r="B602" s="2">
        <f>HYPERLINK("https://my.zakupki.prom.ua/remote/dispatcher/state_purchase_view/31919330", "UA-2021-11-18-000450-a")</f>
        <v/>
      </c>
      <c r="C602" t="s" s="2">
        <v>3102</v>
      </c>
      <c r="D602" s="2">
        <f>HYPERLINK("https://my.zakupki.prom.ua/remote/dispatcher/state_contracting_view/11382760", "UA-2021-11-18-000450-a-a1")</f>
        <v/>
      </c>
      <c r="E602" t="s" s="1">
        <v>2044</v>
      </c>
      <c r="F602" t="s" s="1">
        <v>2572</v>
      </c>
      <c r="G602" t="s" s="1">
        <v>2129</v>
      </c>
      <c r="H602" t="s" s="1">
        <v>774</v>
      </c>
      <c r="I602" t="s" s="1">
        <v>2178</v>
      </c>
      <c r="J602" t="s" s="1">
        <v>3132</v>
      </c>
      <c r="K602" t="s" s="1">
        <v>658</v>
      </c>
      <c r="L602" t="s" s="1">
        <v>1094</v>
      </c>
      <c r="M602" t="n" s="5">
        <v>40907.0</v>
      </c>
      <c r="N602" t="n" s="7">
        <v>44517.0</v>
      </c>
      <c r="O602" t="n" s="7">
        <v>44561.0</v>
      </c>
      <c r="P602" t="s" s="1">
        <v>3384</v>
      </c>
    </row>
    <row r="603" spans="1:16">
      <c r="A603" t="n" s="4">
        <v>599</v>
      </c>
      <c r="B603" s="2">
        <f>HYPERLINK("https://my.zakupki.prom.ua/remote/dispatcher/state_purchase_view/25435899", "UA-2021-04-01-000547-b")</f>
        <v/>
      </c>
      <c r="C603" t="s" s="2">
        <v>3102</v>
      </c>
      <c r="D603" s="2">
        <f>HYPERLINK("https://my.zakupki.prom.ua/remote/dispatcher/state_contracting_view/8345124", "UA-2021-04-01-000547-b-b1")</f>
        <v/>
      </c>
      <c r="E603" t="s" s="1">
        <v>1810</v>
      </c>
      <c r="F603" t="s" s="1">
        <v>2612</v>
      </c>
      <c r="G603" t="s" s="1">
        <v>2612</v>
      </c>
      <c r="H603" t="s" s="1">
        <v>774</v>
      </c>
      <c r="I603" t="s" s="1">
        <v>2178</v>
      </c>
      <c r="J603" t="s" s="1">
        <v>3277</v>
      </c>
      <c r="K603" t="s" s="1">
        <v>519</v>
      </c>
      <c r="L603" t="s" s="1">
        <v>689</v>
      </c>
      <c r="M603" t="n" s="5">
        <v>59750.0</v>
      </c>
      <c r="N603" t="n" s="7">
        <v>44287.0</v>
      </c>
      <c r="O603" t="n" s="7">
        <v>44561.0</v>
      </c>
      <c r="P603" t="s" s="1">
        <v>3384</v>
      </c>
    </row>
    <row r="604" spans="1:16">
      <c r="A604" t="n" s="4">
        <v>600</v>
      </c>
      <c r="B604" s="2">
        <f>HYPERLINK("https://my.zakupki.prom.ua/remote/dispatcher/state_purchase_view/24383768", "UA-2021-02-25-002923-b")</f>
        <v/>
      </c>
      <c r="C604" t="s" s="2">
        <v>3102</v>
      </c>
      <c r="D604" s="2">
        <f>HYPERLINK("https://my.zakupki.prom.ua/remote/dispatcher/state_contracting_view/7843193", "UA-2021-02-25-002923-b-b1")</f>
        <v/>
      </c>
      <c r="E604" t="s" s="1">
        <v>2013</v>
      </c>
      <c r="F604" t="s" s="1">
        <v>2473</v>
      </c>
      <c r="G604" t="s" s="1">
        <v>2473</v>
      </c>
      <c r="H604" t="s" s="1">
        <v>756</v>
      </c>
      <c r="I604" t="s" s="1">
        <v>2178</v>
      </c>
      <c r="J604" t="s" s="1">
        <v>3286</v>
      </c>
      <c r="K604" t="s" s="1">
        <v>820</v>
      </c>
      <c r="L604" t="s" s="1">
        <v>217</v>
      </c>
      <c r="M604" t="n" s="5">
        <v>16510.1</v>
      </c>
      <c r="N604" t="n" s="7">
        <v>44252.0</v>
      </c>
      <c r="O604" t="n" s="7">
        <v>44561.0</v>
      </c>
      <c r="P604" t="s" s="1">
        <v>3384</v>
      </c>
    </row>
    <row r="605" spans="1:16">
      <c r="A605" t="n" s="4">
        <v>601</v>
      </c>
      <c r="B605" s="2">
        <f>HYPERLINK("https://my.zakupki.prom.ua/remote/dispatcher/state_purchase_view/25905059", "UA-2021-04-16-005842-b")</f>
        <v/>
      </c>
      <c r="C605" t="s" s="2">
        <v>3102</v>
      </c>
      <c r="D605" s="2">
        <f>HYPERLINK("https://my.zakupki.prom.ua/remote/dispatcher/state_contracting_view/8568215", "UA-2021-04-16-005842-b-b1")</f>
        <v/>
      </c>
      <c r="E605" t="s" s="1">
        <v>1928</v>
      </c>
      <c r="F605" t="s" s="1">
        <v>2570</v>
      </c>
      <c r="G605" t="s" s="1">
        <v>2127</v>
      </c>
      <c r="H605" t="s" s="1">
        <v>774</v>
      </c>
      <c r="I605" t="s" s="1">
        <v>2178</v>
      </c>
      <c r="J605" t="s" s="1">
        <v>3258</v>
      </c>
      <c r="K605" t="s" s="1">
        <v>776</v>
      </c>
      <c r="L605" t="s" s="1">
        <v>244</v>
      </c>
      <c r="M605" t="n" s="5">
        <v>107643.87</v>
      </c>
      <c r="N605" t="n" s="7">
        <v>44302.0</v>
      </c>
      <c r="O605" t="n" s="7">
        <v>44561.0</v>
      </c>
      <c r="P605" t="s" s="1">
        <v>3384</v>
      </c>
    </row>
    <row r="606" spans="1:16">
      <c r="A606" t="n" s="4">
        <v>602</v>
      </c>
      <c r="B606" s="2">
        <f>HYPERLINK("https://my.zakupki.prom.ua/remote/dispatcher/state_purchase_view/25535276", "UA-2021-04-05-005960-c")</f>
        <v/>
      </c>
      <c r="C606" t="s" s="2">
        <v>3102</v>
      </c>
      <c r="D606" s="2">
        <f>HYPERLINK("https://my.zakupki.prom.ua/remote/dispatcher/state_contracting_view/8391733", "UA-2021-04-05-005960-c-c1")</f>
        <v/>
      </c>
      <c r="E606" t="s" s="1">
        <v>1154</v>
      </c>
      <c r="F606" t="s" s="1">
        <v>2671</v>
      </c>
      <c r="G606" t="s" s="1">
        <v>2671</v>
      </c>
      <c r="H606" t="s" s="1">
        <v>774</v>
      </c>
      <c r="I606" t="s" s="1">
        <v>2178</v>
      </c>
      <c r="J606" t="s" s="1">
        <v>3258</v>
      </c>
      <c r="K606" t="s" s="1">
        <v>776</v>
      </c>
      <c r="L606" t="s" s="1">
        <v>194</v>
      </c>
      <c r="M606" t="n" s="5">
        <v>2366.0</v>
      </c>
      <c r="N606" t="n" s="7">
        <v>44291.0</v>
      </c>
      <c r="O606" t="n" s="7">
        <v>44561.0</v>
      </c>
      <c r="P606" t="s" s="1">
        <v>3384</v>
      </c>
    </row>
    <row r="607" spans="1:16">
      <c r="A607" t="n" s="4">
        <v>603</v>
      </c>
      <c r="B607" s="2">
        <f>HYPERLINK("https://my.zakupki.prom.ua/remote/dispatcher/state_purchase_view/24917217", "UA-2021-03-16-001456-b")</f>
        <v/>
      </c>
      <c r="C607" t="s" s="2">
        <v>3102</v>
      </c>
      <c r="D607" s="2">
        <f>HYPERLINK("https://my.zakupki.prom.ua/remote/dispatcher/state_contracting_view/8113457", "UA-2021-03-16-001456-b-b1")</f>
        <v/>
      </c>
      <c r="E607" t="s" s="1">
        <v>1871</v>
      </c>
      <c r="F607" t="s" s="1">
        <v>2651</v>
      </c>
      <c r="G607" t="s" s="1">
        <v>3450</v>
      </c>
      <c r="H607" t="s" s="1">
        <v>774</v>
      </c>
      <c r="I607" t="s" s="1">
        <v>2178</v>
      </c>
      <c r="J607" t="s" s="1">
        <v>3285</v>
      </c>
      <c r="K607" t="s" s="1">
        <v>463</v>
      </c>
      <c r="L607" t="s" s="1">
        <v>223</v>
      </c>
      <c r="M607" t="n" s="5">
        <v>10712.0</v>
      </c>
      <c r="N607" t="n" s="7">
        <v>44270.0</v>
      </c>
      <c r="O607" t="n" s="7">
        <v>44561.0</v>
      </c>
      <c r="P607" t="s" s="1">
        <v>3384</v>
      </c>
    </row>
    <row r="608" spans="1:16">
      <c r="A608" t="n" s="4">
        <v>604</v>
      </c>
      <c r="B608" s="2">
        <f>HYPERLINK("https://my.zakupki.prom.ua/remote/dispatcher/state_purchase_view/24852850", "UA-2021-03-12-010502-b")</f>
        <v/>
      </c>
      <c r="C608" t="s" s="2">
        <v>3102</v>
      </c>
      <c r="D608" s="2">
        <f>HYPERLINK("https://my.zakupki.prom.ua/remote/dispatcher/state_contracting_view/8066064", "UA-2021-03-12-010502-b-b1")</f>
        <v/>
      </c>
      <c r="E608" t="s" s="1">
        <v>2050</v>
      </c>
      <c r="F608" t="s" s="1">
        <v>2635</v>
      </c>
      <c r="G608" t="s" s="1">
        <v>3423</v>
      </c>
      <c r="H608" t="s" s="1">
        <v>774</v>
      </c>
      <c r="I608" t="s" s="1">
        <v>2178</v>
      </c>
      <c r="J608" t="s" s="1">
        <v>3277</v>
      </c>
      <c r="K608" t="s" s="1">
        <v>519</v>
      </c>
      <c r="L608" t="s" s="1">
        <v>343</v>
      </c>
      <c r="M608" t="n" s="5">
        <v>342341.65</v>
      </c>
      <c r="N608" t="n" s="7">
        <v>44266.0</v>
      </c>
      <c r="O608" t="n" s="7">
        <v>44561.0</v>
      </c>
      <c r="P608" t="s" s="1">
        <v>3384</v>
      </c>
    </row>
    <row r="609" spans="1:16">
      <c r="A609" t="n" s="4">
        <v>605</v>
      </c>
      <c r="B609" s="2">
        <f>HYPERLINK("https://my.zakupki.prom.ua/remote/dispatcher/state_purchase_view/24377712", "UA-2021-02-25-000854-b")</f>
        <v/>
      </c>
      <c r="C609" t="s" s="2">
        <v>3102</v>
      </c>
      <c r="D609" s="2">
        <f>HYPERLINK("https://my.zakupki.prom.ua/remote/dispatcher/state_contracting_view/7839864", "UA-2021-02-25-000854-b-b1")</f>
        <v/>
      </c>
      <c r="E609" t="s" s="1">
        <v>389</v>
      </c>
      <c r="F609" t="s" s="1">
        <v>2567</v>
      </c>
      <c r="G609" t="s" s="1">
        <v>2567</v>
      </c>
      <c r="H609" t="s" s="1">
        <v>765</v>
      </c>
      <c r="I609" t="s" s="1">
        <v>2178</v>
      </c>
      <c r="J609" t="s" s="1">
        <v>3286</v>
      </c>
      <c r="K609" t="s" s="1">
        <v>820</v>
      </c>
      <c r="L609" t="s" s="1">
        <v>203</v>
      </c>
      <c r="M609" t="n" s="5">
        <v>20972.0</v>
      </c>
      <c r="N609" t="n" s="7">
        <v>44252.0</v>
      </c>
      <c r="O609" t="n" s="7">
        <v>44561.0</v>
      </c>
      <c r="P609" t="s" s="1">
        <v>3384</v>
      </c>
    </row>
    <row r="610" spans="1:16">
      <c r="A610" t="n" s="4">
        <v>606</v>
      </c>
      <c r="B610" s="2">
        <f>HYPERLINK("https://my.zakupki.prom.ua/remote/dispatcher/state_purchase_view/33547257", "UA-2021-12-22-008904-c")</f>
        <v/>
      </c>
      <c r="C610" t="s" s="2">
        <v>3102</v>
      </c>
      <c r="D610" s="2">
        <f>HYPERLINK("https://my.zakupki.prom.ua/remote/dispatcher/state_contracting_view/12150468", "UA-2021-12-22-008904-c-c1")</f>
        <v/>
      </c>
      <c r="E610" t="s" s="1">
        <v>900</v>
      </c>
      <c r="F610" t="s" s="1">
        <v>2942</v>
      </c>
      <c r="G610" t="s" s="1">
        <v>2942</v>
      </c>
      <c r="H610" t="s" s="1">
        <v>1359</v>
      </c>
      <c r="I610" t="s" s="1">
        <v>2178</v>
      </c>
      <c r="J610" t="s" s="1">
        <v>3123</v>
      </c>
      <c r="K610" t="s" s="1">
        <v>8</v>
      </c>
      <c r="L610" t="s" s="1">
        <v>1661</v>
      </c>
      <c r="M610" t="n" s="5">
        <v>593.57</v>
      </c>
      <c r="N610" t="n" s="7">
        <v>44552.0</v>
      </c>
      <c r="O610" t="n" s="7">
        <v>44561.0</v>
      </c>
      <c r="P610" t="s" s="1">
        <v>3384</v>
      </c>
    </row>
    <row r="611" spans="1:16">
      <c r="A611" t="n" s="4">
        <v>607</v>
      </c>
      <c r="B611" s="2">
        <f>HYPERLINK("https://my.zakupki.prom.ua/remote/dispatcher/state_purchase_view/31625920", "UA-2021-11-10-007655-a")</f>
        <v/>
      </c>
      <c r="C611" t="s" s="2">
        <v>3102</v>
      </c>
      <c r="D611" s="2">
        <f>HYPERLINK("https://my.zakupki.prom.ua/remote/dispatcher/state_contracting_view/11249975", "UA-2021-11-10-007655-a-a1")</f>
        <v/>
      </c>
      <c r="E611" t="s" s="1">
        <v>268</v>
      </c>
      <c r="F611" t="s" s="1">
        <v>2582</v>
      </c>
      <c r="G611" t="s" s="1">
        <v>2582</v>
      </c>
      <c r="H611" t="s" s="1">
        <v>774</v>
      </c>
      <c r="I611" t="s" s="1">
        <v>2178</v>
      </c>
      <c r="J611" t="s" s="1">
        <v>3216</v>
      </c>
      <c r="K611" t="s" s="1">
        <v>519</v>
      </c>
      <c r="L611" t="s" s="1">
        <v>1580</v>
      </c>
      <c r="M611" t="n" s="5">
        <v>920.2</v>
      </c>
      <c r="N611" t="n" s="7">
        <v>44509.0</v>
      </c>
      <c r="O611" t="n" s="7">
        <v>44561.0</v>
      </c>
      <c r="P611" t="s" s="1">
        <v>3384</v>
      </c>
    </row>
    <row r="612" spans="1:16">
      <c r="A612" t="n" s="4">
        <v>608</v>
      </c>
      <c r="B612" s="2">
        <f>HYPERLINK("https://my.zakupki.prom.ua/remote/dispatcher/state_purchase_view/23806589", "UA-2021-02-09-004977-a")</f>
        <v/>
      </c>
      <c r="C612" t="s" s="2">
        <v>3102</v>
      </c>
      <c r="D612" s="2">
        <f>HYPERLINK("https://my.zakupki.prom.ua/remote/dispatcher/state_contracting_view/7574476", "UA-2021-02-09-004977-a-a1")</f>
        <v/>
      </c>
      <c r="E612" t="s" s="1">
        <v>569</v>
      </c>
      <c r="F612" t="s" s="1">
        <v>2697</v>
      </c>
      <c r="G612" t="s" s="1">
        <v>3540</v>
      </c>
      <c r="H612" t="s" s="1">
        <v>774</v>
      </c>
      <c r="I612" t="s" s="1">
        <v>2178</v>
      </c>
      <c r="J612" t="s" s="1">
        <v>3277</v>
      </c>
      <c r="K612" t="s" s="1">
        <v>519</v>
      </c>
      <c r="L612" t="s" s="1">
        <v>1663</v>
      </c>
      <c r="M612" t="n" s="5">
        <v>331670.0</v>
      </c>
      <c r="N612" t="n" s="7">
        <v>44235.0</v>
      </c>
      <c r="O612" t="n" s="7">
        <v>44561.0</v>
      </c>
      <c r="P612" t="s" s="1">
        <v>3384</v>
      </c>
    </row>
    <row r="613" spans="1:16">
      <c r="A613" t="n" s="4">
        <v>609</v>
      </c>
      <c r="B613" s="2">
        <f>HYPERLINK("https://my.zakupki.prom.ua/remote/dispatcher/state_purchase_view/25131177", "UA-2021-03-22-010045-c")</f>
        <v/>
      </c>
      <c r="C613" t="s" s="2">
        <v>3102</v>
      </c>
      <c r="D613" s="2">
        <f>HYPERLINK("https://my.zakupki.prom.ua/remote/dispatcher/state_contracting_view/8203509", "UA-2021-03-22-010045-c-c1")</f>
        <v/>
      </c>
      <c r="E613" t="s" s="1">
        <v>978</v>
      </c>
      <c r="F613" t="s" s="1">
        <v>2695</v>
      </c>
      <c r="G613" t="s" s="1">
        <v>3529</v>
      </c>
      <c r="H613" t="s" s="1">
        <v>774</v>
      </c>
      <c r="I613" t="s" s="1">
        <v>2178</v>
      </c>
      <c r="J613" t="s" s="1">
        <v>3277</v>
      </c>
      <c r="K613" t="s" s="1">
        <v>519</v>
      </c>
      <c r="L613" t="s" s="1">
        <v>559</v>
      </c>
      <c r="M613" t="n" s="5">
        <v>179149.1</v>
      </c>
      <c r="N613" t="n" s="7">
        <v>44277.0</v>
      </c>
      <c r="O613" t="n" s="7">
        <v>44561.0</v>
      </c>
      <c r="P613" t="s" s="1">
        <v>3384</v>
      </c>
    </row>
    <row r="614" spans="1:16">
      <c r="A614" t="n" s="4">
        <v>610</v>
      </c>
      <c r="B614" s="2">
        <f>HYPERLINK("https://my.zakupki.prom.ua/remote/dispatcher/state_purchase_view/25009314", "UA-2021-03-18-000267-c")</f>
        <v/>
      </c>
      <c r="C614" t="s" s="2">
        <v>3102</v>
      </c>
      <c r="D614" s="2">
        <f>HYPERLINK("https://my.zakupki.prom.ua/remote/dispatcher/state_contracting_view/8141738", "UA-2021-03-18-000267-c-c1")</f>
        <v/>
      </c>
      <c r="E614" t="s" s="1">
        <v>1299</v>
      </c>
      <c r="F614" t="s" s="1">
        <v>2653</v>
      </c>
      <c r="G614" t="s" s="1">
        <v>3452</v>
      </c>
      <c r="H614" t="s" s="1">
        <v>774</v>
      </c>
      <c r="I614" t="s" s="1">
        <v>2178</v>
      </c>
      <c r="J614" t="s" s="1">
        <v>3277</v>
      </c>
      <c r="K614" t="s" s="1">
        <v>519</v>
      </c>
      <c r="L614" t="s" s="1">
        <v>481</v>
      </c>
      <c r="M614" t="n" s="5">
        <v>164326.8</v>
      </c>
      <c r="N614" t="n" s="7">
        <v>44272.0</v>
      </c>
      <c r="O614" t="n" s="7">
        <v>44561.0</v>
      </c>
      <c r="P614" t="s" s="1">
        <v>3384</v>
      </c>
    </row>
    <row r="615" spans="1:16">
      <c r="A615" t="n" s="4">
        <v>611</v>
      </c>
      <c r="B615" s="2">
        <f>HYPERLINK("https://my.zakupki.prom.ua/remote/dispatcher/state_purchase_view/24856071", "UA-2021-03-12-011373-b")</f>
        <v/>
      </c>
      <c r="C615" t="s" s="2">
        <v>3102</v>
      </c>
      <c r="D615" s="2">
        <f>HYPERLINK("https://my.zakupki.prom.ua/remote/dispatcher/state_contracting_view/8067350", "UA-2021-03-12-011373-b-b1")</f>
        <v/>
      </c>
      <c r="E615" t="s" s="1">
        <v>1395</v>
      </c>
      <c r="F615" t="s" s="1">
        <v>3012</v>
      </c>
      <c r="G615" t="s" s="1">
        <v>3012</v>
      </c>
      <c r="H615" t="s" s="1">
        <v>1631</v>
      </c>
      <c r="I615" t="s" s="1">
        <v>2178</v>
      </c>
      <c r="J615" t="s" s="1">
        <v>2184</v>
      </c>
      <c r="K615" t="s" s="1">
        <v>520</v>
      </c>
      <c r="L615" t="s" s="1">
        <v>357</v>
      </c>
      <c r="M615" t="n" s="5">
        <v>2780.0</v>
      </c>
      <c r="N615" t="n" s="7">
        <v>44267.0</v>
      </c>
      <c r="O615" t="n" s="7">
        <v>44561.0</v>
      </c>
      <c r="P615" t="s" s="1">
        <v>3384</v>
      </c>
    </row>
    <row r="616" spans="1:16">
      <c r="A616" t="n" s="4">
        <v>612</v>
      </c>
      <c r="B616" s="2">
        <f>HYPERLINK("https://my.zakupki.prom.ua/remote/dispatcher/state_purchase_view/26236479", "UA-2021-04-28-005308-a")</f>
        <v/>
      </c>
      <c r="C616" t="s" s="2">
        <v>3102</v>
      </c>
      <c r="D616" s="2">
        <f>HYPERLINK("https://my.zakupki.prom.ua/remote/dispatcher/state_contracting_view/8733925", "UA-2021-04-28-005308-a-a1")</f>
        <v/>
      </c>
      <c r="E616" t="s" s="1">
        <v>58</v>
      </c>
      <c r="F616" t="s" s="1">
        <v>2315</v>
      </c>
      <c r="G616" t="s" s="1">
        <v>2315</v>
      </c>
      <c r="H616" t="s" s="1">
        <v>279</v>
      </c>
      <c r="I616" t="s" s="1">
        <v>2178</v>
      </c>
      <c r="J616" t="s" s="1">
        <v>3356</v>
      </c>
      <c r="K616" t="s" s="1">
        <v>814</v>
      </c>
      <c r="L616" t="s" s="1">
        <v>1092</v>
      </c>
      <c r="M616" t="n" s="5">
        <v>5800.0</v>
      </c>
      <c r="N616" t="n" s="7">
        <v>44314.0</v>
      </c>
      <c r="O616" t="n" s="7">
        <v>44561.0</v>
      </c>
      <c r="P616" t="s" s="1">
        <v>3384</v>
      </c>
    </row>
    <row r="617" spans="1:16">
      <c r="A617" t="n" s="4">
        <v>613</v>
      </c>
      <c r="B617" s="2">
        <f>HYPERLINK("https://my.zakupki.prom.ua/remote/dispatcher/state_purchase_view/26235411", "UA-2021-04-28-005015-a")</f>
        <v/>
      </c>
      <c r="C617" t="s" s="2">
        <v>3102</v>
      </c>
      <c r="D617" s="2">
        <f>HYPERLINK("https://my.zakupki.prom.ua/remote/dispatcher/state_contracting_view/8734299", "UA-2021-04-28-005015-a-a1")</f>
        <v/>
      </c>
      <c r="E617" t="s" s="1">
        <v>86</v>
      </c>
      <c r="F617" t="s" s="1">
        <v>2329</v>
      </c>
      <c r="G617" t="s" s="1">
        <v>2329</v>
      </c>
      <c r="H617" t="s" s="1">
        <v>355</v>
      </c>
      <c r="I617" t="s" s="1">
        <v>2178</v>
      </c>
      <c r="J617" t="s" s="1">
        <v>3309</v>
      </c>
      <c r="K617" t="s" s="1">
        <v>611</v>
      </c>
      <c r="L617" t="s" s="1">
        <v>3190</v>
      </c>
      <c r="M617" t="n" s="5">
        <v>88.55</v>
      </c>
      <c r="N617" t="n" s="7">
        <v>44314.0</v>
      </c>
      <c r="O617" t="n" s="7">
        <v>44561.0</v>
      </c>
      <c r="P617" t="s" s="1">
        <v>3384</v>
      </c>
    </row>
    <row r="618" spans="1:16">
      <c r="A618" t="n" s="4">
        <v>614</v>
      </c>
      <c r="B618" s="2">
        <f>HYPERLINK("https://my.zakupki.prom.ua/remote/dispatcher/state_purchase_view/26047996", "UA-2021-04-22-000806-a")</f>
        <v/>
      </c>
      <c r="C618" t="s" s="2">
        <v>3102</v>
      </c>
      <c r="D618" s="2">
        <f>HYPERLINK("https://my.zakupki.prom.ua/remote/dispatcher/state_contracting_view/8636232", "UA-2021-04-22-000806-a-a1")</f>
        <v/>
      </c>
      <c r="E618" t="s" s="1">
        <v>1735</v>
      </c>
      <c r="F618" t="s" s="1">
        <v>2295</v>
      </c>
      <c r="G618" t="s" s="1">
        <v>2295</v>
      </c>
      <c r="H618" t="s" s="1">
        <v>274</v>
      </c>
      <c r="I618" t="s" s="1">
        <v>2178</v>
      </c>
      <c r="J618" t="s" s="1">
        <v>3356</v>
      </c>
      <c r="K618" t="s" s="1">
        <v>814</v>
      </c>
      <c r="L618" t="s" s="1">
        <v>1016</v>
      </c>
      <c r="M618" t="n" s="5">
        <v>8450.0</v>
      </c>
      <c r="N618" t="n" s="7">
        <v>44306.0</v>
      </c>
      <c r="O618" t="n" s="7">
        <v>44561.0</v>
      </c>
      <c r="P618" t="s" s="1">
        <v>3384</v>
      </c>
    </row>
    <row r="619" spans="1:16">
      <c r="A619" t="n" s="4">
        <v>615</v>
      </c>
      <c r="B619" s="2">
        <f>HYPERLINK("https://my.zakupki.prom.ua/remote/dispatcher/state_purchase_view/24866793", "UA-2021-03-15-000406-b")</f>
        <v/>
      </c>
      <c r="C619" t="s" s="2">
        <v>3102</v>
      </c>
      <c r="D619" s="2">
        <f>HYPERLINK("https://my.zakupki.prom.ua/remote/dispatcher/state_contracting_view/8072677", "UA-2021-03-15-000406-b-b1")</f>
        <v/>
      </c>
      <c r="E619" t="s" s="1">
        <v>1773</v>
      </c>
      <c r="F619" t="s" s="1">
        <v>2856</v>
      </c>
      <c r="G619" t="s" s="1">
        <v>2856</v>
      </c>
      <c r="H619" t="s" s="1">
        <v>1075</v>
      </c>
      <c r="I619" t="s" s="1">
        <v>2178</v>
      </c>
      <c r="J619" t="s" s="1">
        <v>3112</v>
      </c>
      <c r="K619" t="s" s="1">
        <v>802</v>
      </c>
      <c r="L619" t="s" s="1">
        <v>1704</v>
      </c>
      <c r="M619" t="n" s="5">
        <v>2457.0</v>
      </c>
      <c r="N619" t="n" s="7">
        <v>44270.0</v>
      </c>
      <c r="O619" t="n" s="7">
        <v>44561.0</v>
      </c>
      <c r="P619" t="s" s="1">
        <v>3384</v>
      </c>
    </row>
    <row r="620" spans="1:16">
      <c r="A620" t="n" s="4">
        <v>616</v>
      </c>
      <c r="B620" s="2">
        <f>HYPERLINK("https://my.zakupki.prom.ua/remote/dispatcher/state_purchase_view/25081723", "UA-2021-03-19-003079-a")</f>
        <v/>
      </c>
      <c r="C620" t="s" s="2">
        <v>3102</v>
      </c>
      <c r="D620" s="2">
        <f>HYPERLINK("https://my.zakupki.prom.ua/remote/dispatcher/state_contracting_view/8181220", "UA-2021-03-19-003079-a-a1")</f>
        <v/>
      </c>
      <c r="E620" t="s" s="1">
        <v>1139</v>
      </c>
      <c r="F620" t="s" s="1">
        <v>3001</v>
      </c>
      <c r="G620" t="s" s="1">
        <v>3001</v>
      </c>
      <c r="H620" t="s" s="1">
        <v>1573</v>
      </c>
      <c r="I620" t="s" s="1">
        <v>2178</v>
      </c>
      <c r="J620" t="s" s="1">
        <v>2157</v>
      </c>
      <c r="K620" t="s" s="1">
        <v>435</v>
      </c>
      <c r="L620" t="s" s="1">
        <v>1642</v>
      </c>
      <c r="M620" t="n" s="5">
        <v>442.13</v>
      </c>
      <c r="N620" t="n" s="7">
        <v>44274.0</v>
      </c>
      <c r="O620" t="n" s="7">
        <v>44561.0</v>
      </c>
      <c r="P620" t="s" s="1">
        <v>3384</v>
      </c>
    </row>
    <row r="621" spans="1:16">
      <c r="A621" t="n" s="4">
        <v>617</v>
      </c>
      <c r="B621" s="2">
        <f>HYPERLINK("https://my.zakupki.prom.ua/remote/dispatcher/state_purchase_view/25072026", "UA-2021-03-19-004046-b")</f>
        <v/>
      </c>
      <c r="C621" t="s" s="2">
        <v>3102</v>
      </c>
      <c r="D621" s="2">
        <f>HYPERLINK("https://my.zakupki.prom.ua/remote/dispatcher/state_contracting_view/8180526", "UA-2021-03-19-004046-b-b1")</f>
        <v/>
      </c>
      <c r="E621" t="s" s="1">
        <v>38</v>
      </c>
      <c r="F621" t="s" s="1">
        <v>2371</v>
      </c>
      <c r="G621" t="s" s="1">
        <v>3490</v>
      </c>
      <c r="H621" t="s" s="1">
        <v>533</v>
      </c>
      <c r="I621" t="s" s="1">
        <v>2178</v>
      </c>
      <c r="J621" t="s" s="1">
        <v>3131</v>
      </c>
      <c r="K621" t="s" s="1">
        <v>658</v>
      </c>
      <c r="L621" t="s" s="1">
        <v>461</v>
      </c>
      <c r="M621" t="n" s="5">
        <v>2046.0</v>
      </c>
      <c r="N621" t="n" s="7">
        <v>44274.0</v>
      </c>
      <c r="O621" t="n" s="7">
        <v>44561.0</v>
      </c>
      <c r="P621" t="s" s="1">
        <v>3384</v>
      </c>
    </row>
    <row r="622" spans="1:16">
      <c r="A622" t="n" s="4">
        <v>618</v>
      </c>
      <c r="B622" s="2">
        <f>HYPERLINK("https://my.zakupki.prom.ua/remote/dispatcher/state_purchase_view/25010418", "UA-2021-03-18-000700-c")</f>
        <v/>
      </c>
      <c r="C622" t="s" s="2">
        <v>3102</v>
      </c>
      <c r="D622" s="2">
        <f>HYPERLINK("https://my.zakupki.prom.ua/remote/dispatcher/state_contracting_view/8143019", "UA-2021-03-18-000700-c-c1")</f>
        <v/>
      </c>
      <c r="E622" t="s" s="1">
        <v>1215</v>
      </c>
      <c r="F622" t="s" s="1">
        <v>2482</v>
      </c>
      <c r="G622" t="s" s="1">
        <v>2482</v>
      </c>
      <c r="H622" t="s" s="1">
        <v>758</v>
      </c>
      <c r="I622" t="s" s="1">
        <v>2178</v>
      </c>
      <c r="J622" t="s" s="1">
        <v>3289</v>
      </c>
      <c r="K622" t="s" s="1">
        <v>1024</v>
      </c>
      <c r="L622" t="s" s="1">
        <v>487</v>
      </c>
      <c r="M622" t="n" s="5">
        <v>99000.0</v>
      </c>
      <c r="N622" t="n" s="7">
        <v>44273.0</v>
      </c>
      <c r="O622" t="n" s="7">
        <v>44561.0</v>
      </c>
      <c r="P622" t="s" s="1">
        <v>3384</v>
      </c>
    </row>
    <row r="623" spans="1:16">
      <c r="A623" t="n" s="4">
        <v>619</v>
      </c>
      <c r="B623" s="2">
        <f>HYPERLINK("https://my.zakupki.prom.ua/remote/dispatcher/state_purchase_view/25664421", "UA-2021-04-08-006476-a")</f>
        <v/>
      </c>
      <c r="C623" t="s" s="2">
        <v>3102</v>
      </c>
      <c r="D623" s="2">
        <f>HYPERLINK("https://my.zakupki.prom.ua/remote/dispatcher/state_contracting_view/8453986", "UA-2021-04-08-006476-a-a1")</f>
        <v/>
      </c>
      <c r="E623" t="s" s="1">
        <v>1282</v>
      </c>
      <c r="F623" t="s" s="1">
        <v>2278</v>
      </c>
      <c r="G623" t="s" s="1">
        <v>2278</v>
      </c>
      <c r="H623" t="s" s="1">
        <v>264</v>
      </c>
      <c r="I623" t="s" s="1">
        <v>2178</v>
      </c>
      <c r="J623" t="s" s="1">
        <v>3356</v>
      </c>
      <c r="K623" t="s" s="1">
        <v>814</v>
      </c>
      <c r="L623" t="s" s="1">
        <v>926</v>
      </c>
      <c r="M623" t="n" s="5">
        <v>1600.0</v>
      </c>
      <c r="N623" t="n" s="7">
        <v>44294.0</v>
      </c>
      <c r="O623" t="n" s="7">
        <v>44561.0</v>
      </c>
      <c r="P623" t="s" s="1">
        <v>3384</v>
      </c>
    </row>
    <row r="624" spans="1:16">
      <c r="A624" t="n" s="4">
        <v>620</v>
      </c>
      <c r="B624" s="2">
        <f>HYPERLINK("https://my.zakupki.prom.ua/remote/dispatcher/state_purchase_view/25662646", "UA-2021-04-08-005854-a")</f>
        <v/>
      </c>
      <c r="C624" t="s" s="2">
        <v>3102</v>
      </c>
      <c r="D624" s="2">
        <f>HYPERLINK("https://my.zakupki.prom.ua/remote/dispatcher/state_contracting_view/8453226", "UA-2021-04-08-005854-a-a1")</f>
        <v/>
      </c>
      <c r="E624" t="s" s="1">
        <v>1473</v>
      </c>
      <c r="F624" t="s" s="1">
        <v>2537</v>
      </c>
      <c r="G624" t="s" s="1">
        <v>3533</v>
      </c>
      <c r="H624" t="s" s="1">
        <v>759</v>
      </c>
      <c r="I624" t="s" s="1">
        <v>2178</v>
      </c>
      <c r="J624" t="s" s="1">
        <v>3277</v>
      </c>
      <c r="K624" t="s" s="1">
        <v>519</v>
      </c>
      <c r="L624" t="s" s="1">
        <v>905</v>
      </c>
      <c r="M624" t="n" s="5">
        <v>5212.27</v>
      </c>
      <c r="N624" t="n" s="7">
        <v>44294.0</v>
      </c>
      <c r="O624" t="n" s="7">
        <v>44561.0</v>
      </c>
      <c r="P624" t="s" s="1">
        <v>3384</v>
      </c>
    </row>
    <row r="625" spans="1:16">
      <c r="A625" t="n" s="4">
        <v>621</v>
      </c>
      <c r="B625" s="2">
        <f>HYPERLINK("https://my.zakupki.prom.ua/remote/dispatcher/state_purchase_view/25729812", "UA-2021-04-12-001841-c")</f>
        <v/>
      </c>
      <c r="C625" t="s" s="2">
        <v>3102</v>
      </c>
      <c r="D625" s="2">
        <f>HYPERLINK("https://my.zakupki.prom.ua/remote/dispatcher/state_contracting_view/8488465", "UA-2021-04-12-001841-c-c1")</f>
        <v/>
      </c>
      <c r="E625" t="s" s="1">
        <v>890</v>
      </c>
      <c r="F625" t="s" s="1">
        <v>2771</v>
      </c>
      <c r="G625" t="s" s="1">
        <v>3439</v>
      </c>
      <c r="H625" t="s" s="1">
        <v>921</v>
      </c>
      <c r="I625" t="s" s="1">
        <v>2178</v>
      </c>
      <c r="J625" t="s" s="1">
        <v>3306</v>
      </c>
      <c r="K625" t="s" s="1">
        <v>996</v>
      </c>
      <c r="L625" t="s" s="1">
        <v>3078</v>
      </c>
      <c r="M625" t="n" s="5">
        <v>8328.0</v>
      </c>
      <c r="N625" t="n" s="7">
        <v>44298.0</v>
      </c>
      <c r="O625" t="n" s="7">
        <v>44561.0</v>
      </c>
      <c r="P625" t="s" s="1">
        <v>3384</v>
      </c>
    </row>
    <row r="626" spans="1:16">
      <c r="A626" t="n" s="4">
        <v>622</v>
      </c>
      <c r="B626" s="2">
        <f>HYPERLINK("https://my.zakupki.prom.ua/remote/dispatcher/state_purchase_view/23058160", "UA-2021-01-19-004213-a")</f>
        <v/>
      </c>
      <c r="C626" t="s" s="2">
        <v>3102</v>
      </c>
      <c r="D626" s="2">
        <f>HYPERLINK("https://my.zakupki.prom.ua/remote/dispatcher/state_contracting_view/7256901", "UA-2021-01-19-004213-a-a1")</f>
        <v/>
      </c>
      <c r="E626" t="s" s="1">
        <v>2024</v>
      </c>
      <c r="F626" t="s" s="1">
        <v>3027</v>
      </c>
      <c r="G626" t="s" s="1">
        <v>3027</v>
      </c>
      <c r="H626" t="s" s="1">
        <v>1713</v>
      </c>
      <c r="I626" t="s" s="1">
        <v>2178</v>
      </c>
      <c r="J626" t="s" s="1">
        <v>3274</v>
      </c>
      <c r="K626" t="s" s="1">
        <v>870</v>
      </c>
      <c r="L626" t="s" s="1">
        <v>88</v>
      </c>
      <c r="M626" t="n" s="5">
        <v>102000.0</v>
      </c>
      <c r="N626" t="n" s="7">
        <v>44214.0</v>
      </c>
      <c r="O626" t="n" s="7">
        <v>44561.0</v>
      </c>
      <c r="P626" t="s" s="1">
        <v>3384</v>
      </c>
    </row>
    <row r="627" spans="1:16">
      <c r="A627" t="n" s="4">
        <v>623</v>
      </c>
      <c r="B627" s="2">
        <f>HYPERLINK("https://my.zakupki.prom.ua/remote/dispatcher/state_purchase_view/32040510", "UA-2021-11-22-003364-a")</f>
        <v/>
      </c>
      <c r="C627" t="s" s="2">
        <v>3102</v>
      </c>
      <c r="D627" s="2">
        <f>HYPERLINK("https://my.zakupki.prom.ua/remote/dispatcher/state_contracting_view/11440329", "UA-2021-11-22-003364-a-a1")</f>
        <v/>
      </c>
      <c r="E627" t="s" s="1">
        <v>87</v>
      </c>
      <c r="F627" t="s" s="1">
        <v>2945</v>
      </c>
      <c r="G627" t="s" s="1">
        <v>2945</v>
      </c>
      <c r="H627" t="s" s="1">
        <v>1442</v>
      </c>
      <c r="I627" t="s" s="1">
        <v>2178</v>
      </c>
      <c r="J627" t="s" s="1">
        <v>3160</v>
      </c>
      <c r="K627" t="s" s="1">
        <v>623</v>
      </c>
      <c r="L627" t="s" s="1">
        <v>233</v>
      </c>
      <c r="M627" t="n" s="5">
        <v>11799.71</v>
      </c>
      <c r="N627" t="n" s="7">
        <v>44522.0</v>
      </c>
      <c r="O627" t="n" s="7">
        <v>44561.0</v>
      </c>
      <c r="P627" t="s" s="1">
        <v>3384</v>
      </c>
    </row>
    <row r="628" spans="1:16">
      <c r="A628" t="n" s="4">
        <v>624</v>
      </c>
      <c r="B628" s="2">
        <f>HYPERLINK("https://my.zakupki.prom.ua/remote/dispatcher/state_purchase_view/23467617", "UA-2021-02-01-000410-a")</f>
        <v/>
      </c>
      <c r="C628" t="s" s="2">
        <v>3102</v>
      </c>
      <c r="D628" s="2">
        <f>HYPERLINK("https://my.zakupki.prom.ua/remote/dispatcher/state_contracting_view/7424696", "UA-2021-02-01-000410-a-a1")</f>
        <v/>
      </c>
      <c r="E628" t="s" s="1">
        <v>748</v>
      </c>
      <c r="F628" t="s" s="1">
        <v>2688</v>
      </c>
      <c r="G628" t="s" s="1">
        <v>3520</v>
      </c>
      <c r="H628" t="s" s="1">
        <v>774</v>
      </c>
      <c r="I628" t="s" s="1">
        <v>2178</v>
      </c>
      <c r="J628" t="s" s="1">
        <v>3277</v>
      </c>
      <c r="K628" t="s" s="1">
        <v>519</v>
      </c>
      <c r="L628" t="s" s="1">
        <v>1394</v>
      </c>
      <c r="M628" t="n" s="5">
        <v>19064.0</v>
      </c>
      <c r="N628" t="n" s="7">
        <v>44228.0</v>
      </c>
      <c r="O628" t="n" s="7">
        <v>44561.0</v>
      </c>
      <c r="P628" t="s" s="1">
        <v>3384</v>
      </c>
    </row>
    <row r="629" spans="1:16">
      <c r="A629" t="n" s="4">
        <v>625</v>
      </c>
      <c r="B629" s="2">
        <f>HYPERLINK("https://my.zakupki.prom.ua/remote/dispatcher/state_purchase_view/24041725", "UA-2021-02-16-002090-a")</f>
        <v/>
      </c>
      <c r="C629" t="s" s="2">
        <v>3102</v>
      </c>
      <c r="D629" s="2">
        <f>HYPERLINK("https://my.zakupki.prom.ua/remote/dispatcher/state_contracting_view/7685171", "UA-2021-02-16-002090-a-a1")</f>
        <v/>
      </c>
      <c r="E629" t="s" s="1">
        <v>1808</v>
      </c>
      <c r="F629" t="s" s="1">
        <v>2650</v>
      </c>
      <c r="G629" t="s" s="1">
        <v>3448</v>
      </c>
      <c r="H629" t="s" s="1">
        <v>774</v>
      </c>
      <c r="I629" t="s" s="1">
        <v>2178</v>
      </c>
      <c r="J629" t="s" s="1">
        <v>3285</v>
      </c>
      <c r="K629" t="s" s="1">
        <v>463</v>
      </c>
      <c r="L629" t="s" s="1">
        <v>171</v>
      </c>
      <c r="M629" t="n" s="5">
        <v>24150.0</v>
      </c>
      <c r="N629" t="n" s="7">
        <v>44242.0</v>
      </c>
      <c r="O629" t="n" s="7">
        <v>44561.0</v>
      </c>
      <c r="P629" t="s" s="1">
        <v>3384</v>
      </c>
    </row>
    <row r="630" spans="1:16">
      <c r="A630" t="n" s="4">
        <v>626</v>
      </c>
      <c r="B630" s="2">
        <f>HYPERLINK("https://my.zakupki.prom.ua/remote/dispatcher/state_purchase_view/25628938", "UA-2021-04-08-000439-b")</f>
        <v/>
      </c>
      <c r="C630" t="s" s="2">
        <v>3102</v>
      </c>
      <c r="D630" s="2">
        <f>HYPERLINK("https://my.zakupki.prom.ua/remote/dispatcher/state_contracting_view/8442446", "UA-2021-04-08-000439-b-b1")</f>
        <v/>
      </c>
      <c r="E630" t="s" s="1">
        <v>398</v>
      </c>
      <c r="F630" t="s" s="1">
        <v>2424</v>
      </c>
      <c r="G630" t="s" s="1">
        <v>2424</v>
      </c>
      <c r="H630" t="s" s="1">
        <v>693</v>
      </c>
      <c r="I630" t="s" s="1">
        <v>2178</v>
      </c>
      <c r="J630" t="s" s="1">
        <v>3112</v>
      </c>
      <c r="K630" t="s" s="1">
        <v>802</v>
      </c>
      <c r="L630" t="s" s="1">
        <v>33</v>
      </c>
      <c r="M630" t="n" s="5">
        <v>4398.05</v>
      </c>
      <c r="N630" t="n" s="7">
        <v>44294.0</v>
      </c>
      <c r="O630" t="n" s="7">
        <v>44561.0</v>
      </c>
      <c r="P630" t="s" s="1">
        <v>3384</v>
      </c>
    </row>
    <row r="631" spans="1:16">
      <c r="A631" t="n" s="4">
        <v>627</v>
      </c>
      <c r="B631" s="2">
        <f>HYPERLINK("https://my.zakupki.prom.ua/remote/dispatcher/state_purchase_view/29429326", "UA-2021-09-01-000652-a")</f>
        <v/>
      </c>
      <c r="C631" t="s" s="2">
        <v>3102</v>
      </c>
      <c r="D631" s="2">
        <f>HYPERLINK("https://my.zakupki.prom.ua/remote/dispatcher/state_contracting_view/10236499", "UA-2021-09-01-000652-a-a1")</f>
        <v/>
      </c>
      <c r="E631" t="s" s="1">
        <v>1408</v>
      </c>
      <c r="F631" t="s" s="1">
        <v>2792</v>
      </c>
      <c r="G631" t="s" s="1">
        <v>2792</v>
      </c>
      <c r="H631" t="s" s="1">
        <v>938</v>
      </c>
      <c r="I631" t="s" s="1">
        <v>2178</v>
      </c>
      <c r="J631" t="s" s="1">
        <v>3356</v>
      </c>
      <c r="K631" t="s" s="1">
        <v>814</v>
      </c>
      <c r="L631" t="s" s="1">
        <v>1385</v>
      </c>
      <c r="M631" t="n" s="5">
        <v>3052.1</v>
      </c>
      <c r="N631" t="n" s="7">
        <v>44440.0</v>
      </c>
      <c r="O631" t="n" s="7">
        <v>44561.0</v>
      </c>
      <c r="P631" t="s" s="1">
        <v>3384</v>
      </c>
    </row>
    <row r="632" spans="1:16">
      <c r="A632" t="n" s="4">
        <v>628</v>
      </c>
      <c r="B632" s="2">
        <f>HYPERLINK("https://my.zakupki.prom.ua/remote/dispatcher/state_purchase_view/30288184", "UA-2021-09-28-002001-b")</f>
        <v/>
      </c>
      <c r="C632" t="s" s="2">
        <v>3102</v>
      </c>
      <c r="D632" s="2">
        <f>HYPERLINK("https://my.zakupki.prom.ua/remote/dispatcher/state_contracting_view/10633327", "UA-2021-09-28-002001-b-b1")</f>
        <v/>
      </c>
      <c r="E632" t="s" s="1">
        <v>2093</v>
      </c>
      <c r="F632" t="s" s="1">
        <v>2859</v>
      </c>
      <c r="G632" t="s" s="1">
        <v>2859</v>
      </c>
      <c r="H632" t="s" s="1">
        <v>1076</v>
      </c>
      <c r="I632" t="s" s="1">
        <v>2178</v>
      </c>
      <c r="J632" t="s" s="1">
        <v>2141</v>
      </c>
      <c r="K632" t="s" s="1">
        <v>438</v>
      </c>
      <c r="L632" t="s" s="1">
        <v>1479</v>
      </c>
      <c r="M632" t="n" s="5">
        <v>660.0</v>
      </c>
      <c r="N632" t="n" s="7">
        <v>44467.0</v>
      </c>
      <c r="O632" t="n" s="7">
        <v>44561.0</v>
      </c>
      <c r="P632" t="s" s="1">
        <v>3384</v>
      </c>
    </row>
    <row r="633" spans="1:16">
      <c r="A633" t="n" s="4">
        <v>629</v>
      </c>
      <c r="B633" s="2">
        <f>HYPERLINK("https://my.zakupki.prom.ua/remote/dispatcher/state_purchase_view/30287042", "UA-2021-09-28-001681-b")</f>
        <v/>
      </c>
      <c r="C633" t="s" s="2">
        <v>3102</v>
      </c>
      <c r="D633" s="2">
        <f>HYPERLINK("https://my.zakupki.prom.ua/remote/dispatcher/state_contracting_view/10633030", "UA-2021-09-28-001681-b-b1")</f>
        <v/>
      </c>
      <c r="E633" t="s" s="1">
        <v>65</v>
      </c>
      <c r="F633" t="s" s="1">
        <v>2895</v>
      </c>
      <c r="G633" t="s" s="1">
        <v>3414</v>
      </c>
      <c r="H633" t="s" s="1">
        <v>1085</v>
      </c>
      <c r="I633" t="s" s="1">
        <v>2178</v>
      </c>
      <c r="J633" t="s" s="1">
        <v>2141</v>
      </c>
      <c r="K633" t="s" s="1">
        <v>438</v>
      </c>
      <c r="L633" t="s" s="1">
        <v>1476</v>
      </c>
      <c r="M633" t="n" s="5">
        <v>670.0</v>
      </c>
      <c r="N633" t="n" s="7">
        <v>44467.0</v>
      </c>
      <c r="O633" t="n" s="7">
        <v>44561.0</v>
      </c>
      <c r="P633" t="s" s="1">
        <v>3384</v>
      </c>
    </row>
    <row r="634" spans="1:16">
      <c r="A634" t="n" s="4">
        <v>630</v>
      </c>
      <c r="B634" s="2">
        <f>HYPERLINK("https://my.zakupki.prom.ua/remote/dispatcher/state_purchase_view/25174100", "UA-2021-03-23-007490-c")</f>
        <v/>
      </c>
      <c r="C634" t="s" s="2">
        <v>3102</v>
      </c>
      <c r="D634" s="2">
        <f>HYPERLINK("https://my.zakupki.prom.ua/remote/dispatcher/state_contracting_view/8225672", "UA-2021-03-23-007490-c-c1")</f>
        <v/>
      </c>
      <c r="E634" t="s" s="1">
        <v>93</v>
      </c>
      <c r="F634" t="s" s="1">
        <v>2406</v>
      </c>
      <c r="G634" t="s" s="1">
        <v>2406</v>
      </c>
      <c r="H634" t="s" s="1">
        <v>656</v>
      </c>
      <c r="I634" t="s" s="1">
        <v>2178</v>
      </c>
      <c r="J634" t="s" s="1">
        <v>3268</v>
      </c>
      <c r="K634" t="s" s="1">
        <v>984</v>
      </c>
      <c r="L634" t="s" s="1">
        <v>970</v>
      </c>
      <c r="M634" t="n" s="5">
        <v>17796.0</v>
      </c>
      <c r="N634" t="n" s="7">
        <v>44278.0</v>
      </c>
      <c r="O634" t="n" s="7">
        <v>44561.0</v>
      </c>
      <c r="P634" t="s" s="1">
        <v>3384</v>
      </c>
    </row>
    <row r="635" spans="1:16">
      <c r="A635" t="n" s="4">
        <v>631</v>
      </c>
      <c r="B635" s="2">
        <f>HYPERLINK("https://my.zakupki.prom.ua/remote/dispatcher/state_purchase_view/23534620", "UA-2021-02-02-006140-a")</f>
        <v/>
      </c>
      <c r="C635" t="s" s="2">
        <v>3102</v>
      </c>
      <c r="D635" s="2">
        <f>HYPERLINK("https://my.zakupki.prom.ua/remote/dispatcher/state_contracting_view/7454596", "UA-2021-02-02-006140-a-a1")</f>
        <v/>
      </c>
      <c r="E635" t="s" s="1">
        <v>1274</v>
      </c>
      <c r="F635" t="s" s="1">
        <v>2939</v>
      </c>
      <c r="G635" t="s" s="1">
        <v>2939</v>
      </c>
      <c r="H635" t="s" s="1">
        <v>1357</v>
      </c>
      <c r="I635" t="s" s="1">
        <v>2178</v>
      </c>
      <c r="J635" t="s" s="1">
        <v>2123</v>
      </c>
      <c r="K635" t="s" s="1">
        <v>54</v>
      </c>
      <c r="L635" t="s" s="1">
        <v>645</v>
      </c>
      <c r="M635" t="n" s="5">
        <v>759.37</v>
      </c>
      <c r="N635" t="n" s="7">
        <v>44229.0</v>
      </c>
      <c r="O635" t="n" s="7">
        <v>44561.0</v>
      </c>
      <c r="P635" t="s" s="1">
        <v>3384</v>
      </c>
    </row>
    <row r="636" spans="1:16">
      <c r="A636" t="n" s="4">
        <v>632</v>
      </c>
      <c r="B636" s="2">
        <f>HYPERLINK("https://my.zakupki.prom.ua/remote/dispatcher/state_purchase_view/32667342", "UA-2021-12-07-001024-c")</f>
        <v/>
      </c>
      <c r="C636" t="s" s="2">
        <v>3102</v>
      </c>
      <c r="D636" s="2">
        <f>HYPERLINK("https://my.zakupki.prom.ua/remote/dispatcher/state_contracting_view/11727665", "UA-2021-12-07-001024-c-c1")</f>
        <v/>
      </c>
      <c r="E636" t="s" s="1">
        <v>1202</v>
      </c>
      <c r="F636" t="s" s="1">
        <v>2201</v>
      </c>
      <c r="G636" t="s" s="1">
        <v>2201</v>
      </c>
      <c r="H636" t="s" s="1">
        <v>871</v>
      </c>
      <c r="I636" t="s" s="1">
        <v>2178</v>
      </c>
      <c r="J636" t="s" s="1">
        <v>2148</v>
      </c>
      <c r="K636" t="s" s="1">
        <v>678</v>
      </c>
      <c r="L636" t="s" s="1">
        <v>1636</v>
      </c>
      <c r="M636" t="n" s="5">
        <v>1425.0</v>
      </c>
      <c r="N636" t="n" s="7">
        <v>44536.0</v>
      </c>
      <c r="O636" t="n" s="7">
        <v>44561.0</v>
      </c>
      <c r="P636" t="s" s="1">
        <v>3384</v>
      </c>
    </row>
    <row r="637" spans="1:16">
      <c r="A637" t="n" s="4">
        <v>633</v>
      </c>
      <c r="B637" s="2">
        <f>HYPERLINK("https://my.zakupki.prom.ua/remote/dispatcher/state_purchase_view/22935054", "UA-2021-01-13-002431-a")</f>
        <v/>
      </c>
      <c r="C637" t="s" s="2">
        <v>3102</v>
      </c>
      <c r="D637" s="2">
        <f>HYPERLINK("https://my.zakupki.prom.ua/remote/dispatcher/state_contracting_view/7214859", "UA-2021-01-13-002431-a-a1")</f>
        <v/>
      </c>
      <c r="E637" t="s" s="1">
        <v>1907</v>
      </c>
      <c r="F637" t="s" s="1">
        <v>2328</v>
      </c>
      <c r="G637" t="s" s="1">
        <v>2328</v>
      </c>
      <c r="H637" t="s" s="1">
        <v>350</v>
      </c>
      <c r="I637" t="s" s="1">
        <v>2178</v>
      </c>
      <c r="J637" t="s" s="1">
        <v>3112</v>
      </c>
      <c r="K637" t="s" s="1">
        <v>802</v>
      </c>
      <c r="L637" t="s" s="1">
        <v>337</v>
      </c>
      <c r="M637" t="n" s="5">
        <v>998.2</v>
      </c>
      <c r="N637" t="n" s="7">
        <v>44209.0</v>
      </c>
      <c r="O637" t="n" s="7">
        <v>44561.0</v>
      </c>
      <c r="P637" t="s" s="1">
        <v>3384</v>
      </c>
    </row>
    <row r="638" spans="1:16">
      <c r="A638" t="n" s="4">
        <v>634</v>
      </c>
      <c r="B638" s="2">
        <f>HYPERLINK("https://my.zakupki.prom.ua/remote/dispatcher/state_purchase_view/22931100", "UA-2021-01-13-001231-a")</f>
        <v/>
      </c>
      <c r="C638" t="s" s="2">
        <v>3102</v>
      </c>
      <c r="D638" s="2">
        <f>HYPERLINK("https://my.zakupki.prom.ua/remote/dispatcher/state_contracting_view/7213665", "UA-2021-01-13-001231-a-a1")</f>
        <v/>
      </c>
      <c r="E638" t="s" s="1">
        <v>1780</v>
      </c>
      <c r="F638" t="s" s="1">
        <v>2853</v>
      </c>
      <c r="G638" t="s" s="1">
        <v>2853</v>
      </c>
      <c r="H638" t="s" s="1">
        <v>1075</v>
      </c>
      <c r="I638" t="s" s="1">
        <v>2178</v>
      </c>
      <c r="J638" t="s" s="1">
        <v>3112</v>
      </c>
      <c r="K638" t="s" s="1">
        <v>802</v>
      </c>
      <c r="L638" t="s" s="1">
        <v>1703</v>
      </c>
      <c r="M638" t="n" s="5">
        <v>423.2</v>
      </c>
      <c r="N638" t="n" s="7">
        <v>44209.0</v>
      </c>
      <c r="O638" t="n" s="7">
        <v>44561.0</v>
      </c>
      <c r="P638" t="s" s="1">
        <v>3384</v>
      </c>
    </row>
    <row r="639" spans="1:16">
      <c r="A639" t="n" s="4">
        <v>635</v>
      </c>
      <c r="B639" s="2">
        <f>HYPERLINK("https://my.zakupki.prom.ua/remote/dispatcher/state_purchase_view/22928073", "UA-2021-01-13-000131-a")</f>
        <v/>
      </c>
      <c r="C639" t="s" s="2">
        <v>3102</v>
      </c>
      <c r="D639" s="2">
        <f>HYPERLINK("https://my.zakupki.prom.ua/remote/dispatcher/state_contracting_view/7212551", "UA-2021-01-13-000131-a-a1")</f>
        <v/>
      </c>
      <c r="E639" t="s" s="1">
        <v>867</v>
      </c>
      <c r="F639" t="s" s="1">
        <v>2360</v>
      </c>
      <c r="G639" t="s" s="1">
        <v>2360</v>
      </c>
      <c r="H639" t="s" s="1">
        <v>496</v>
      </c>
      <c r="I639" t="s" s="1">
        <v>2178</v>
      </c>
      <c r="J639" t="s" s="1">
        <v>2163</v>
      </c>
      <c r="K639" t="s" s="1">
        <v>724</v>
      </c>
      <c r="L639" t="s" s="1">
        <v>1562</v>
      </c>
      <c r="M639" t="n" s="5">
        <v>4704.0</v>
      </c>
      <c r="N639" t="n" s="7">
        <v>44208.0</v>
      </c>
      <c r="O639" t="n" s="7">
        <v>44561.0</v>
      </c>
      <c r="P639" t="s" s="1">
        <v>3384</v>
      </c>
    </row>
    <row r="640" spans="1:16">
      <c r="A640" t="n" s="4">
        <v>636</v>
      </c>
      <c r="B640" s="2">
        <f>HYPERLINK("https://my.zakupki.prom.ua/remote/dispatcher/state_purchase_view/23848426", "UA-2021-02-10-002308-a")</f>
        <v/>
      </c>
      <c r="C640" t="s" s="2">
        <v>3102</v>
      </c>
      <c r="D640" s="2">
        <f>HYPERLINK("https://my.zakupki.prom.ua/remote/dispatcher/state_contracting_view/7604744", "UA-2021-02-10-002308-a-a1")</f>
        <v/>
      </c>
      <c r="E640" t="s" s="1">
        <v>1526</v>
      </c>
      <c r="F640" t="s" s="1">
        <v>2942</v>
      </c>
      <c r="G640" t="s" s="1">
        <v>2942</v>
      </c>
      <c r="H640" t="s" s="1">
        <v>1359</v>
      </c>
      <c r="I640" t="s" s="1">
        <v>2178</v>
      </c>
      <c r="J640" t="s" s="1">
        <v>3121</v>
      </c>
      <c r="K640" t="s" s="1">
        <v>8</v>
      </c>
      <c r="L640" t="s" s="1">
        <v>1708</v>
      </c>
      <c r="M640" t="n" s="5">
        <v>4012.5</v>
      </c>
      <c r="N640" t="n" s="7">
        <v>44237.0</v>
      </c>
      <c r="O640" t="n" s="7">
        <v>44561.0</v>
      </c>
      <c r="P640" t="s" s="1">
        <v>3384</v>
      </c>
    </row>
    <row r="641" spans="1:16">
      <c r="A641" t="n" s="4">
        <v>637</v>
      </c>
      <c r="B641" s="2">
        <f>HYPERLINK("https://my.zakupki.prom.ua/remote/dispatcher/state_purchase_view/23769850", "UA-2021-02-08-008510-a")</f>
        <v/>
      </c>
      <c r="C641" t="s" s="2">
        <v>3102</v>
      </c>
      <c r="D641" s="2">
        <f>HYPERLINK("https://my.zakupki.prom.ua/remote/dispatcher/state_contracting_view/7557510", "UA-2021-02-08-008510-a-a1")</f>
        <v/>
      </c>
      <c r="E641" t="s" s="1">
        <v>1219</v>
      </c>
      <c r="F641" t="s" s="1">
        <v>2261</v>
      </c>
      <c r="G641" t="s" s="1">
        <v>3108</v>
      </c>
      <c r="H641" t="s" s="1">
        <v>254</v>
      </c>
      <c r="I641" t="s" s="1">
        <v>2178</v>
      </c>
      <c r="J641" t="s" s="1">
        <v>3356</v>
      </c>
      <c r="K641" t="s" s="1">
        <v>814</v>
      </c>
      <c r="L641" t="s" s="1">
        <v>1606</v>
      </c>
      <c r="M641" t="n" s="5">
        <v>10000.0</v>
      </c>
      <c r="N641" t="n" s="7">
        <v>44235.0</v>
      </c>
      <c r="O641" t="n" s="7">
        <v>44561.0</v>
      </c>
      <c r="P641" t="s" s="1">
        <v>3384</v>
      </c>
    </row>
    <row r="642" spans="1:16">
      <c r="A642" t="n" s="4">
        <v>638</v>
      </c>
      <c r="B642" s="2">
        <f>HYPERLINK("https://my.zakupki.prom.ua/remote/dispatcher/state_purchase_view/24285996", "UA-2021-02-23-001890-b")</f>
        <v/>
      </c>
      <c r="C642" t="s" s="2">
        <v>3102</v>
      </c>
      <c r="D642" s="2">
        <f>HYPERLINK("https://my.zakupki.prom.ua/remote/dispatcher/state_contracting_view/7796697", "UA-2021-02-23-001890-b-b1")</f>
        <v/>
      </c>
      <c r="E642" t="s" s="1">
        <v>1266</v>
      </c>
      <c r="F642" t="s" s="1">
        <v>2802</v>
      </c>
      <c r="G642" t="s" s="1">
        <v>2802</v>
      </c>
      <c r="H642" t="s" s="1">
        <v>1009</v>
      </c>
      <c r="I642" t="s" s="1">
        <v>2178</v>
      </c>
      <c r="J642" t="s" s="1">
        <v>3117</v>
      </c>
      <c r="K642" t="s" s="1">
        <v>495</v>
      </c>
      <c r="L642" t="s" s="1">
        <v>179</v>
      </c>
      <c r="M642" t="n" s="5">
        <v>19900.0</v>
      </c>
      <c r="N642" t="n" s="7">
        <v>44250.0</v>
      </c>
      <c r="O642" t="n" s="7">
        <v>44561.0</v>
      </c>
      <c r="P642" t="s" s="1">
        <v>3384</v>
      </c>
    </row>
    <row r="643" spans="1:16">
      <c r="A643" t="n" s="4">
        <v>639</v>
      </c>
      <c r="B643" s="2">
        <f>HYPERLINK("https://my.zakupki.prom.ua/remote/dispatcher/state_purchase_view/24102865", "UA-2021-02-17-007150-a")</f>
        <v/>
      </c>
      <c r="C643" t="s" s="2">
        <v>3102</v>
      </c>
      <c r="D643" s="2">
        <f>HYPERLINK("https://my.zakupki.prom.ua/remote/dispatcher/state_contracting_view/7718672", "UA-2021-02-17-007150-a-a1")</f>
        <v/>
      </c>
      <c r="E643" t="s" s="1">
        <v>135</v>
      </c>
      <c r="F643" t="s" s="1">
        <v>2910</v>
      </c>
      <c r="G643" t="s" s="1">
        <v>2910</v>
      </c>
      <c r="H643" t="s" s="1">
        <v>1173</v>
      </c>
      <c r="I643" t="s" s="1">
        <v>2178</v>
      </c>
      <c r="J643" t="s" s="1">
        <v>3089</v>
      </c>
      <c r="K643" t="s" s="1">
        <v>654</v>
      </c>
      <c r="L643" t="s" s="1">
        <v>154</v>
      </c>
      <c r="M643" t="n" s="5">
        <v>900.0</v>
      </c>
      <c r="N643" t="n" s="7">
        <v>44244.0</v>
      </c>
      <c r="O643" t="n" s="7">
        <v>44561.0</v>
      </c>
      <c r="P643" t="s" s="1">
        <v>3384</v>
      </c>
    </row>
    <row r="644" spans="1:16">
      <c r="A644" t="n" s="4">
        <v>640</v>
      </c>
      <c r="B644" s="2">
        <f>HYPERLINK("https://my.zakupki.prom.ua/remote/dispatcher/state_purchase_view/29314396", "UA-2021-08-27-004792-a")</f>
        <v/>
      </c>
      <c r="C644" t="s" s="2">
        <v>3102</v>
      </c>
      <c r="D644" s="2">
        <f>HYPERLINK("https://my.zakupki.prom.ua/remote/dispatcher/state_contracting_view/10183641", "UA-2021-08-27-004792-a-a1")</f>
        <v/>
      </c>
      <c r="E644" t="s" s="1">
        <v>305</v>
      </c>
      <c r="F644" t="s" s="1">
        <v>2957</v>
      </c>
      <c r="G644" t="s" s="1">
        <v>2957</v>
      </c>
      <c r="H644" t="s" s="1">
        <v>1448</v>
      </c>
      <c r="I644" t="s" s="1">
        <v>2178</v>
      </c>
      <c r="J644" t="s" s="1">
        <v>2188</v>
      </c>
      <c r="K644" t="s" s="1">
        <v>53</v>
      </c>
      <c r="L644" t="s" s="1">
        <v>1378</v>
      </c>
      <c r="M644" t="n" s="5">
        <v>42000.0</v>
      </c>
      <c r="N644" t="n" s="7">
        <v>44435.0</v>
      </c>
      <c r="O644" t="n" s="7">
        <v>44561.0</v>
      </c>
      <c r="P644" t="s" s="1">
        <v>3384</v>
      </c>
    </row>
    <row r="645" spans="1:16">
      <c r="A645" t="n" s="4">
        <v>641</v>
      </c>
      <c r="B645" s="2">
        <f>HYPERLINK("https://my.zakupki.prom.ua/remote/dispatcher/state_purchase_view/30751114", "UA-2021-10-13-002084-b")</f>
        <v/>
      </c>
      <c r="C645" t="s" s="2">
        <v>3102</v>
      </c>
      <c r="D645" s="2">
        <f>HYPERLINK("https://my.zakupki.prom.ua/remote/dispatcher/state_contracting_view/10858489", "UA-2021-10-13-002084-b-b1")</f>
        <v/>
      </c>
      <c r="E645" t="s" s="1">
        <v>1771</v>
      </c>
      <c r="F645" t="s" s="1">
        <v>2921</v>
      </c>
      <c r="G645" t="s" s="1">
        <v>2921</v>
      </c>
      <c r="H645" t="s" s="1">
        <v>1174</v>
      </c>
      <c r="I645" t="s" s="1">
        <v>2178</v>
      </c>
      <c r="J645" t="s" s="1">
        <v>2159</v>
      </c>
      <c r="K645" t="s" s="1">
        <v>64</v>
      </c>
      <c r="L645" t="s" s="1">
        <v>451</v>
      </c>
      <c r="M645" t="n" s="5">
        <v>7812.48</v>
      </c>
      <c r="N645" t="n" s="7">
        <v>44482.0</v>
      </c>
      <c r="O645" t="n" s="7">
        <v>44561.0</v>
      </c>
      <c r="P645" t="s" s="1">
        <v>3384</v>
      </c>
    </row>
    <row r="646" spans="1:16">
      <c r="A646" t="n" s="4">
        <v>642</v>
      </c>
      <c r="B646" s="2">
        <f>HYPERLINK("https://my.zakupki.prom.ua/remote/dispatcher/state_purchase_view/32215716", "UA-2021-11-25-005617-a")</f>
        <v/>
      </c>
      <c r="C646" t="s" s="2">
        <v>3102</v>
      </c>
      <c r="D646" s="2">
        <f>HYPERLINK("https://my.zakupki.prom.ua/remote/dispatcher/state_contracting_view/11519862", "UA-2021-11-25-005617-a-a1")</f>
        <v/>
      </c>
      <c r="E646" t="s" s="1">
        <v>1710</v>
      </c>
      <c r="F646" t="s" s="1">
        <v>2917</v>
      </c>
      <c r="G646" t="s" s="1">
        <v>2917</v>
      </c>
      <c r="H646" t="s" s="1">
        <v>1173</v>
      </c>
      <c r="I646" t="s" s="1">
        <v>2178</v>
      </c>
      <c r="J646" t="s" s="1">
        <v>3090</v>
      </c>
      <c r="K646" t="s" s="1">
        <v>654</v>
      </c>
      <c r="L646" t="s" s="1">
        <v>1609</v>
      </c>
      <c r="M646" t="n" s="5">
        <v>1440.0</v>
      </c>
      <c r="N646" t="n" s="7">
        <v>44525.0</v>
      </c>
      <c r="O646" t="n" s="7">
        <v>44561.0</v>
      </c>
      <c r="P646" t="s" s="1">
        <v>3384</v>
      </c>
    </row>
    <row r="647" spans="1:16">
      <c r="A647" t="n" s="4">
        <v>643</v>
      </c>
      <c r="B647" s="2">
        <f>HYPERLINK("https://my.zakupki.prom.ua/remote/dispatcher/state_purchase_view/28256686", "UA-2021-07-15-003067-b")</f>
        <v/>
      </c>
      <c r="C647" t="s" s="2">
        <v>3102</v>
      </c>
      <c r="D647" s="2">
        <f>HYPERLINK("https://my.zakupki.prom.ua/remote/dispatcher/state_contracting_view/9687823", "UA-2021-07-15-003067-b-b1")</f>
        <v/>
      </c>
      <c r="E647" t="s" s="1">
        <v>1853</v>
      </c>
      <c r="F647" t="s" s="1">
        <v>3008</v>
      </c>
      <c r="G647" t="s" s="1">
        <v>3008</v>
      </c>
      <c r="H647" t="s" s="1">
        <v>1577</v>
      </c>
      <c r="I647" t="s" s="1">
        <v>2178</v>
      </c>
      <c r="J647" t="s" s="1">
        <v>3121</v>
      </c>
      <c r="K647" t="s" s="1">
        <v>8</v>
      </c>
      <c r="L647" t="s" s="1">
        <v>582</v>
      </c>
      <c r="M647" t="n" s="5">
        <v>696.0</v>
      </c>
      <c r="N647" t="n" s="7">
        <v>44392.0</v>
      </c>
      <c r="O647" t="n" s="7">
        <v>44561.0</v>
      </c>
      <c r="P647" t="s" s="1">
        <v>3384</v>
      </c>
    </row>
    <row r="648" spans="1:16">
      <c r="A648" t="n" s="4">
        <v>644</v>
      </c>
      <c r="B648" s="2">
        <f>HYPERLINK("https://my.zakupki.prom.ua/remote/dispatcher/state_purchase_view/25518971", "UA-2021-04-05-002341-a")</f>
        <v/>
      </c>
      <c r="C648" t="s" s="2">
        <v>3102</v>
      </c>
      <c r="D648" s="2">
        <f>HYPERLINK("https://my.zakupki.prom.ua/remote/dispatcher/state_contracting_view/8384929", "UA-2021-04-05-002341-a-a1")</f>
        <v/>
      </c>
      <c r="E648" t="s" s="1">
        <v>2105</v>
      </c>
      <c r="F648" t="s" s="1">
        <v>2711</v>
      </c>
      <c r="G648" t="s" s="1">
        <v>2711</v>
      </c>
      <c r="H648" t="s" s="1">
        <v>781</v>
      </c>
      <c r="I648" t="s" s="1">
        <v>2178</v>
      </c>
      <c r="J648" t="s" s="1">
        <v>3356</v>
      </c>
      <c r="K648" t="s" s="1">
        <v>814</v>
      </c>
      <c r="L648" t="s" s="1">
        <v>744</v>
      </c>
      <c r="M648" t="n" s="5">
        <v>4720.0</v>
      </c>
      <c r="N648" t="n" s="7">
        <v>44291.0</v>
      </c>
      <c r="O648" t="n" s="7">
        <v>44561.0</v>
      </c>
      <c r="P648" t="s" s="1">
        <v>3384</v>
      </c>
    </row>
    <row r="649" spans="1:16">
      <c r="A649" t="n" s="4">
        <v>645</v>
      </c>
      <c r="B649" s="2">
        <f>HYPERLINK("https://my.zakupki.prom.ua/remote/dispatcher/state_purchase_view/24751765", "UA-2021-03-10-007609-b")</f>
        <v/>
      </c>
      <c r="C649" t="s" s="2">
        <v>3102</v>
      </c>
      <c r="D649" s="2">
        <f>HYPERLINK("https://my.zakupki.prom.ua/remote/dispatcher/state_contracting_view/8021710", "UA-2021-03-10-007609-b-b1")</f>
        <v/>
      </c>
      <c r="E649" t="s" s="1">
        <v>1988</v>
      </c>
      <c r="F649" t="s" s="1">
        <v>2483</v>
      </c>
      <c r="G649" t="s" s="1">
        <v>2483</v>
      </c>
      <c r="H649" t="s" s="1">
        <v>758</v>
      </c>
      <c r="I649" t="s" s="1">
        <v>2178</v>
      </c>
      <c r="J649" t="s" s="1">
        <v>3289</v>
      </c>
      <c r="K649" t="s" s="1">
        <v>1024</v>
      </c>
      <c r="L649" t="s" s="1">
        <v>293</v>
      </c>
      <c r="M649" t="n" s="5">
        <v>174500.0</v>
      </c>
      <c r="N649" t="n" s="7">
        <v>44265.0</v>
      </c>
      <c r="O649" t="n" s="7">
        <v>44561.0</v>
      </c>
      <c r="P649" t="s" s="1">
        <v>3384</v>
      </c>
    </row>
    <row r="650" spans="1:16">
      <c r="A650" t="n" s="4">
        <v>646</v>
      </c>
      <c r="B650" s="2">
        <f>HYPERLINK("https://my.zakupki.prom.ua/remote/dispatcher/state_purchase_view/25588989", "UA-2021-04-07-000988-a")</f>
        <v/>
      </c>
      <c r="C650" t="s" s="2">
        <v>3102</v>
      </c>
      <c r="D650" s="2">
        <f>HYPERLINK("https://my.zakupki.prom.ua/remote/dispatcher/state_contracting_view/8419225", "UA-2021-04-07-000988-a-a1")</f>
        <v/>
      </c>
      <c r="E650" t="s" s="1">
        <v>1996</v>
      </c>
      <c r="F650" t="s" s="1">
        <v>2272</v>
      </c>
      <c r="G650" t="s" s="1">
        <v>2272</v>
      </c>
      <c r="H650" t="s" s="1">
        <v>260</v>
      </c>
      <c r="I650" t="s" s="1">
        <v>2178</v>
      </c>
      <c r="J650" t="s" s="1">
        <v>3356</v>
      </c>
      <c r="K650" t="s" s="1">
        <v>814</v>
      </c>
      <c r="L650" t="s" s="1">
        <v>836</v>
      </c>
      <c r="M650" t="n" s="5">
        <v>19500.0</v>
      </c>
      <c r="N650" t="n" s="7">
        <v>44292.0</v>
      </c>
      <c r="O650" t="n" s="7">
        <v>44561.0</v>
      </c>
      <c r="P650" t="s" s="1">
        <v>3384</v>
      </c>
    </row>
    <row r="651" spans="1:16">
      <c r="A651" t="n" s="4">
        <v>647</v>
      </c>
      <c r="B651" s="2">
        <f>HYPERLINK("https://my.zakupki.prom.ua/remote/dispatcher/state_purchase_view/25664041", "UA-2021-04-08-006354-a")</f>
        <v/>
      </c>
      <c r="C651" t="s" s="2">
        <v>3102</v>
      </c>
      <c r="D651" s="2">
        <f>HYPERLINK("https://my.zakupki.prom.ua/remote/dispatcher/state_contracting_view/8454061", "UA-2021-04-08-006354-a-a1")</f>
        <v/>
      </c>
      <c r="E651" t="s" s="1">
        <v>1325</v>
      </c>
      <c r="F651" t="s" s="1">
        <v>2274</v>
      </c>
      <c r="G651" t="s" s="1">
        <v>2274</v>
      </c>
      <c r="H651" t="s" s="1">
        <v>261</v>
      </c>
      <c r="I651" t="s" s="1">
        <v>2178</v>
      </c>
      <c r="J651" t="s" s="1">
        <v>3356</v>
      </c>
      <c r="K651" t="s" s="1">
        <v>814</v>
      </c>
      <c r="L651" t="s" s="1">
        <v>927</v>
      </c>
      <c r="M651" t="n" s="5">
        <v>27980.0</v>
      </c>
      <c r="N651" t="n" s="7">
        <v>44294.0</v>
      </c>
      <c r="O651" t="n" s="7">
        <v>44561.0</v>
      </c>
      <c r="P651" t="s" s="1">
        <v>3384</v>
      </c>
    </row>
    <row r="652" spans="1:16">
      <c r="A652" t="n" s="4">
        <v>648</v>
      </c>
      <c r="B652" s="2">
        <f>HYPERLINK("https://my.zakupki.prom.ua/remote/dispatcher/state_purchase_view/29322000", "UA-2021-08-27-007784-a")</f>
        <v/>
      </c>
      <c r="C652" t="s" s="2">
        <v>3102</v>
      </c>
      <c r="D652" s="2">
        <f>HYPERLINK("https://my.zakupki.prom.ua/remote/dispatcher/state_contracting_view/10186860", "UA-2021-08-27-007784-a-a1")</f>
        <v/>
      </c>
      <c r="E652" t="s" s="1">
        <v>306</v>
      </c>
      <c r="F652" t="s" s="1">
        <v>2362</v>
      </c>
      <c r="G652" t="s" s="1">
        <v>2362</v>
      </c>
      <c r="H652" t="s" s="1">
        <v>496</v>
      </c>
      <c r="I652" t="s" s="1">
        <v>2178</v>
      </c>
      <c r="J652" t="s" s="1">
        <v>2163</v>
      </c>
      <c r="K652" t="s" s="1">
        <v>724</v>
      </c>
      <c r="L652" t="s" s="1">
        <v>313</v>
      </c>
      <c r="M652" t="n" s="5">
        <v>3240.0</v>
      </c>
      <c r="N652" t="n" s="7">
        <v>44434.0</v>
      </c>
      <c r="O652" t="n" s="7">
        <v>44561.0</v>
      </c>
      <c r="P652" t="s" s="1">
        <v>3384</v>
      </c>
    </row>
    <row r="653" spans="1:16">
      <c r="A653" t="n" s="4">
        <v>649</v>
      </c>
      <c r="B653" s="2">
        <f>HYPERLINK("https://my.zakupki.prom.ua/remote/dispatcher/state_purchase_view/27774983", "UA-2021-06-25-002839-c")</f>
        <v/>
      </c>
      <c r="C653" t="s" s="2">
        <v>3102</v>
      </c>
      <c r="D653" s="2">
        <f>HYPERLINK("https://my.zakupki.prom.ua/remote/dispatcher/state_contracting_view/9465353", "UA-2021-06-25-002839-c-c1")</f>
        <v/>
      </c>
      <c r="E653" t="s" s="1">
        <v>1906</v>
      </c>
      <c r="F653" t="s" s="1">
        <v>2787</v>
      </c>
      <c r="G653" t="s" s="1">
        <v>3526</v>
      </c>
      <c r="H653" t="s" s="1">
        <v>934</v>
      </c>
      <c r="I653" t="s" s="1">
        <v>2178</v>
      </c>
      <c r="J653" t="s" s="1">
        <v>3112</v>
      </c>
      <c r="K653" t="s" s="1">
        <v>802</v>
      </c>
      <c r="L653" t="s" s="1">
        <v>164</v>
      </c>
      <c r="M653" t="n" s="5">
        <v>11820.0</v>
      </c>
      <c r="N653" t="n" s="7">
        <v>44372.0</v>
      </c>
      <c r="O653" t="n" s="7">
        <v>44561.0</v>
      </c>
      <c r="P653" t="s" s="1">
        <v>3384</v>
      </c>
    </row>
    <row r="654" spans="1:16">
      <c r="A654" t="n" s="4">
        <v>650</v>
      </c>
      <c r="B654" s="2">
        <f>HYPERLINK("https://my.zakupki.prom.ua/remote/dispatcher/state_purchase_view/27772900", "UA-2021-06-25-002215-c")</f>
        <v/>
      </c>
      <c r="C654" t="s" s="2">
        <v>3102</v>
      </c>
      <c r="D654" s="2">
        <f>HYPERLINK("https://my.zakupki.prom.ua/remote/dispatcher/state_contracting_view/9465596", "UA-2021-06-25-002215-c-c1")</f>
        <v/>
      </c>
      <c r="E654" t="s" s="1">
        <v>1967</v>
      </c>
      <c r="F654" t="s" s="1">
        <v>2882</v>
      </c>
      <c r="G654" t="s" s="1">
        <v>2882</v>
      </c>
      <c r="H654" t="s" s="1">
        <v>1083</v>
      </c>
      <c r="I654" t="s" s="1">
        <v>2178</v>
      </c>
      <c r="J654" t="s" s="1">
        <v>3112</v>
      </c>
      <c r="K654" t="s" s="1">
        <v>802</v>
      </c>
      <c r="L654" t="s" s="1">
        <v>92</v>
      </c>
      <c r="M654" t="n" s="5">
        <v>581.5</v>
      </c>
      <c r="N654" t="n" s="7">
        <v>44372.0</v>
      </c>
      <c r="O654" t="n" s="7">
        <v>44561.0</v>
      </c>
      <c r="P654" t="s" s="1">
        <v>3384</v>
      </c>
    </row>
    <row r="655" spans="1:16">
      <c r="A655" t="n" s="4">
        <v>651</v>
      </c>
      <c r="B655" s="2">
        <f>HYPERLINK("https://my.zakupki.prom.ua/remote/dispatcher/state_purchase_view/27353306", "UA-2021-06-10-003606-b")</f>
        <v/>
      </c>
      <c r="C655" t="s" s="2">
        <v>3102</v>
      </c>
      <c r="D655" s="2">
        <f>HYPERLINK("https://my.zakupki.prom.ua/remote/dispatcher/state_contracting_view/9258922", "UA-2021-06-10-003606-b-b1")</f>
        <v/>
      </c>
      <c r="E655" t="s" s="1">
        <v>271</v>
      </c>
      <c r="F655" t="s" s="1">
        <v>2384</v>
      </c>
      <c r="G655" t="s" s="1">
        <v>3388</v>
      </c>
      <c r="H655" t="s" s="1">
        <v>536</v>
      </c>
      <c r="I655" t="s" s="1">
        <v>2178</v>
      </c>
      <c r="J655" t="s" s="1">
        <v>3306</v>
      </c>
      <c r="K655" t="s" s="1">
        <v>996</v>
      </c>
      <c r="L655" t="s" s="1">
        <v>3057</v>
      </c>
      <c r="M655" t="n" s="5">
        <v>9504.0</v>
      </c>
      <c r="N655" t="n" s="7">
        <v>44357.0</v>
      </c>
      <c r="O655" t="n" s="7">
        <v>44561.0</v>
      </c>
      <c r="P655" t="s" s="1">
        <v>3384</v>
      </c>
    </row>
    <row r="656" spans="1:16">
      <c r="A656" t="n" s="4">
        <v>652</v>
      </c>
      <c r="B656" s="2">
        <f>HYPERLINK("https://my.zakupki.prom.ua/remote/dispatcher/state_purchase_view/29905264", "UA-2021-09-16-000564-b")</f>
        <v/>
      </c>
      <c r="C656" t="s" s="2">
        <v>3102</v>
      </c>
      <c r="D656" s="2">
        <f>HYPERLINK("https://my.zakupki.prom.ua/remote/dispatcher/state_contracting_view/10456324", "UA-2021-09-16-000564-b-b1")</f>
        <v/>
      </c>
      <c r="E656" t="s" s="1">
        <v>1423</v>
      </c>
      <c r="F656" t="s" s="1">
        <v>2744</v>
      </c>
      <c r="G656" t="s" s="1">
        <v>2744</v>
      </c>
      <c r="H656" t="s" s="1">
        <v>906</v>
      </c>
      <c r="I656" t="s" s="1">
        <v>2178</v>
      </c>
      <c r="J656" t="s" s="1">
        <v>3150</v>
      </c>
      <c r="K656" t="s" s="1">
        <v>786</v>
      </c>
      <c r="L656" t="s" s="1">
        <v>3149</v>
      </c>
      <c r="M656" t="n" s="5">
        <v>10600.0</v>
      </c>
      <c r="N656" t="n" s="7">
        <v>44455.0</v>
      </c>
      <c r="O656" t="n" s="7">
        <v>44561.0</v>
      </c>
      <c r="P656" t="s" s="1">
        <v>3384</v>
      </c>
    </row>
    <row r="657" spans="1:16">
      <c r="A657" t="n" s="4">
        <v>653</v>
      </c>
      <c r="B657" s="2">
        <f>HYPERLINK("https://my.zakupki.prom.ua/remote/dispatcher/state_purchase_view/29481899", "UA-2021-09-02-006399-a")</f>
        <v/>
      </c>
      <c r="C657" t="s" s="2">
        <v>3102</v>
      </c>
      <c r="D657" s="2">
        <f>HYPERLINK("https://my.zakupki.prom.ua/remote/dispatcher/state_contracting_view/10263223", "UA-2021-09-02-006399-a-a1")</f>
        <v/>
      </c>
      <c r="E657" t="s" s="1">
        <v>2000</v>
      </c>
      <c r="F657" t="s" s="1">
        <v>2333</v>
      </c>
      <c r="G657" t="s" s="1">
        <v>2333</v>
      </c>
      <c r="H657" t="s" s="1">
        <v>373</v>
      </c>
      <c r="I657" t="s" s="1">
        <v>2178</v>
      </c>
      <c r="J657" t="s" s="1">
        <v>3309</v>
      </c>
      <c r="K657" t="s" s="1">
        <v>611</v>
      </c>
      <c r="L657" t="s" s="1">
        <v>3179</v>
      </c>
      <c r="M657" t="n" s="5">
        <v>192.0</v>
      </c>
      <c r="N657" t="n" s="7">
        <v>44441.0</v>
      </c>
      <c r="O657" t="n" s="7">
        <v>44561.0</v>
      </c>
      <c r="P657" t="s" s="1">
        <v>3384</v>
      </c>
    </row>
    <row r="658" spans="1:16">
      <c r="A658" t="n" s="4">
        <v>654</v>
      </c>
      <c r="B658" s="2">
        <f>HYPERLINK("https://my.zakupki.prom.ua/remote/dispatcher/state_purchase_view/29777553", "UA-2021-09-13-003851-b")</f>
        <v/>
      </c>
      <c r="C658" t="s" s="2">
        <v>3102</v>
      </c>
      <c r="D658" s="2">
        <f>HYPERLINK("https://my.zakupki.prom.ua/remote/dispatcher/state_contracting_view/10398070", "UA-2021-09-13-003851-b-b1")</f>
        <v/>
      </c>
      <c r="E658" t="s" s="1">
        <v>955</v>
      </c>
      <c r="F658" t="s" s="1">
        <v>2477</v>
      </c>
      <c r="G658" t="s" s="1">
        <v>2477</v>
      </c>
      <c r="H658" t="s" s="1">
        <v>758</v>
      </c>
      <c r="I658" t="s" s="1">
        <v>2178</v>
      </c>
      <c r="J658" t="s" s="1">
        <v>3251</v>
      </c>
      <c r="K658" t="s" s="1">
        <v>992</v>
      </c>
      <c r="L658" t="s" s="1">
        <v>719</v>
      </c>
      <c r="M658" t="n" s="5">
        <v>40500.0</v>
      </c>
      <c r="N658" t="n" s="7">
        <v>44449.0</v>
      </c>
      <c r="O658" t="n" s="7">
        <v>44561.0</v>
      </c>
      <c r="P658" t="s" s="1">
        <v>3384</v>
      </c>
    </row>
    <row r="659" spans="1:16">
      <c r="A659" t="n" s="4">
        <v>655</v>
      </c>
      <c r="B659" s="2">
        <f>HYPERLINK("https://my.zakupki.prom.ua/remote/dispatcher/state_purchase_view/30150960", "UA-2021-09-23-003354-b")</f>
        <v/>
      </c>
      <c r="C659" t="s" s="2">
        <v>3102</v>
      </c>
      <c r="D659" s="2">
        <f>HYPERLINK("https://my.zakupki.prom.ua/remote/dispatcher/state_contracting_view/10569623", "UA-2021-09-23-003354-b-b1")</f>
        <v/>
      </c>
      <c r="E659" t="s" s="1">
        <v>1982</v>
      </c>
      <c r="F659" t="s" s="1">
        <v>2427</v>
      </c>
      <c r="G659" t="s" s="1">
        <v>2426</v>
      </c>
      <c r="H659" t="s" s="1">
        <v>693</v>
      </c>
      <c r="I659" t="s" s="1">
        <v>2178</v>
      </c>
      <c r="J659" t="s" s="1">
        <v>3113</v>
      </c>
      <c r="K659" t="s" s="1">
        <v>816</v>
      </c>
      <c r="L659" t="s" s="1">
        <v>969</v>
      </c>
      <c r="M659" t="n" s="5">
        <v>1143.0</v>
      </c>
      <c r="N659" t="n" s="7">
        <v>44462.0</v>
      </c>
      <c r="O659" t="n" s="7">
        <v>44561.0</v>
      </c>
      <c r="P659" t="s" s="1">
        <v>3384</v>
      </c>
    </row>
    <row r="660" spans="1:16">
      <c r="A660" t="n" s="4">
        <v>656</v>
      </c>
      <c r="B660" s="2">
        <f>HYPERLINK("https://my.zakupki.prom.ua/remote/dispatcher/state_purchase_view/29435357", "UA-2021-09-01-002405-a")</f>
        <v/>
      </c>
      <c r="C660" t="s" s="2">
        <v>3102</v>
      </c>
      <c r="D660" s="2">
        <f>HYPERLINK("https://my.zakupki.prom.ua/remote/dispatcher/state_contracting_view/10239333", "UA-2021-09-01-002405-a-a1")</f>
        <v/>
      </c>
      <c r="E660" t="s" s="1">
        <v>1420</v>
      </c>
      <c r="F660" t="s" s="1">
        <v>2871</v>
      </c>
      <c r="G660" t="s" s="1">
        <v>2871</v>
      </c>
      <c r="H660" t="s" s="1">
        <v>1077</v>
      </c>
      <c r="I660" t="s" s="1">
        <v>2178</v>
      </c>
      <c r="J660" t="s" s="1">
        <v>3309</v>
      </c>
      <c r="K660" t="s" s="1">
        <v>611</v>
      </c>
      <c r="L660" t="s" s="1">
        <v>3178</v>
      </c>
      <c r="M660" t="n" s="5">
        <v>60.0</v>
      </c>
      <c r="N660" t="n" s="7">
        <v>44440.0</v>
      </c>
      <c r="O660" t="n" s="7">
        <v>44561.0</v>
      </c>
      <c r="P660" t="s" s="1">
        <v>3384</v>
      </c>
    </row>
    <row r="661" spans="1:16">
      <c r="A661" t="n" s="4">
        <v>657</v>
      </c>
      <c r="B661" s="2">
        <f>HYPERLINK("https://my.zakupki.prom.ua/remote/dispatcher/state_purchase_view/25731676", "UA-2021-04-12-002414-c")</f>
        <v/>
      </c>
      <c r="C661" t="s" s="2">
        <v>3102</v>
      </c>
      <c r="D661" s="2">
        <f>HYPERLINK("https://my.zakupki.prom.ua/remote/dispatcher/state_contracting_view/8488798", "UA-2021-04-12-002414-c-c1")</f>
        <v/>
      </c>
      <c r="E661" t="s" s="1">
        <v>2077</v>
      </c>
      <c r="F661" t="s" s="1">
        <v>3028</v>
      </c>
      <c r="G661" t="s" s="1">
        <v>3028</v>
      </c>
      <c r="H661" t="s" s="1">
        <v>1713</v>
      </c>
      <c r="I661" t="s" s="1">
        <v>2178</v>
      </c>
      <c r="J661" t="s" s="1">
        <v>3274</v>
      </c>
      <c r="K661" t="s" s="1">
        <v>870</v>
      </c>
      <c r="L661" t="s" s="1">
        <v>935</v>
      </c>
      <c r="M661" t="n" s="5">
        <v>102000.0</v>
      </c>
      <c r="N661" t="n" s="7">
        <v>44295.0</v>
      </c>
      <c r="O661" t="n" s="7">
        <v>44561.0</v>
      </c>
      <c r="P661" t="s" s="1">
        <v>3384</v>
      </c>
    </row>
    <row r="662" spans="1:16">
      <c r="A662" t="n" s="4">
        <v>658</v>
      </c>
      <c r="B662" s="2">
        <f>HYPERLINK("https://my.zakupki.prom.ua/remote/dispatcher/state_purchase_view/24260225", "UA-2021-02-22-012336-b")</f>
        <v/>
      </c>
      <c r="C662" t="s" s="2">
        <v>3102</v>
      </c>
      <c r="D662" s="2">
        <f>HYPERLINK("https://my.zakupki.prom.ua/remote/dispatcher/state_contracting_view/7787772", "UA-2021-02-22-012336-b-b1")</f>
        <v/>
      </c>
      <c r="E662" t="s" s="1">
        <v>401</v>
      </c>
      <c r="F662" t="s" s="1">
        <v>2539</v>
      </c>
      <c r="G662" t="s" s="1">
        <v>3535</v>
      </c>
      <c r="H662" t="s" s="1">
        <v>759</v>
      </c>
      <c r="I662" t="s" s="1">
        <v>2178</v>
      </c>
      <c r="J662" t="s" s="1">
        <v>3258</v>
      </c>
      <c r="K662" t="s" s="1">
        <v>776</v>
      </c>
      <c r="L662" t="s" s="1">
        <v>1220</v>
      </c>
      <c r="M662" t="n" s="5">
        <v>22996.0</v>
      </c>
      <c r="N662" t="n" s="7">
        <v>44249.0</v>
      </c>
      <c r="O662" t="n" s="7">
        <v>44561.0</v>
      </c>
      <c r="P662" t="s" s="1">
        <v>3384</v>
      </c>
    </row>
    <row r="663" spans="1:16">
      <c r="A663" t="n" s="4">
        <v>659</v>
      </c>
      <c r="B663" s="2">
        <f>HYPERLINK("https://my.zakupki.prom.ua/remote/dispatcher/state_purchase_view/26257815", "UA-2021-04-29-004894-c")</f>
        <v/>
      </c>
      <c r="C663" t="s" s="2">
        <v>3102</v>
      </c>
      <c r="D663" s="2">
        <f>HYPERLINK("https://my.zakupki.prom.ua/remote/dispatcher/state_contracting_view/8739127", "UA-2021-04-29-004894-c-c1")</f>
        <v/>
      </c>
      <c r="E663" t="s" s="1">
        <v>1611</v>
      </c>
      <c r="F663" t="s" s="1">
        <v>2762</v>
      </c>
      <c r="G663" t="s" s="1">
        <v>2762</v>
      </c>
      <c r="H663" t="s" s="1">
        <v>915</v>
      </c>
      <c r="I663" t="s" s="1">
        <v>2178</v>
      </c>
      <c r="J663" t="s" s="1">
        <v>3112</v>
      </c>
      <c r="K663" t="s" s="1">
        <v>802</v>
      </c>
      <c r="L663" t="s" s="1">
        <v>524</v>
      </c>
      <c r="M663" t="n" s="5">
        <v>43.0</v>
      </c>
      <c r="N663" t="n" s="7">
        <v>44315.0</v>
      </c>
      <c r="O663" t="n" s="7">
        <v>44561.0</v>
      </c>
      <c r="P663" t="s" s="1">
        <v>3384</v>
      </c>
    </row>
    <row r="664" spans="1:16">
      <c r="A664" t="n" s="4">
        <v>660</v>
      </c>
      <c r="B664" s="2">
        <f>HYPERLINK("https://my.zakupki.prom.ua/remote/dispatcher/state_purchase_view/26260227", "UA-2021-04-29-005693-c")</f>
        <v/>
      </c>
      <c r="C664" t="s" s="2">
        <v>3102</v>
      </c>
      <c r="D664" s="2">
        <f>HYPERLINK("https://my.zakupki.prom.ua/remote/dispatcher/state_contracting_view/8739313", "UA-2021-04-29-005693-c-c1")</f>
        <v/>
      </c>
      <c r="E664" t="s" s="1">
        <v>1347</v>
      </c>
      <c r="F664" t="s" s="1">
        <v>2781</v>
      </c>
      <c r="G664" t="s" s="1">
        <v>2781</v>
      </c>
      <c r="H664" t="s" s="1">
        <v>934</v>
      </c>
      <c r="I664" t="s" s="1">
        <v>2178</v>
      </c>
      <c r="J664" t="s" s="1">
        <v>3112</v>
      </c>
      <c r="K664" t="s" s="1">
        <v>802</v>
      </c>
      <c r="L664" t="s" s="1">
        <v>651</v>
      </c>
      <c r="M664" t="n" s="5">
        <v>1024.0</v>
      </c>
      <c r="N664" t="n" s="7">
        <v>44315.0</v>
      </c>
      <c r="O664" t="n" s="7">
        <v>44561.0</v>
      </c>
      <c r="P664" t="s" s="1">
        <v>3384</v>
      </c>
    </row>
    <row r="665" spans="1:16">
      <c r="A665" t="n" s="4">
        <v>661</v>
      </c>
      <c r="B665" s="2">
        <f>HYPERLINK("https://my.zakupki.prom.ua/remote/dispatcher/state_purchase_view/25517405", "UA-2021-04-05-002297-c")</f>
        <v/>
      </c>
      <c r="C665" t="s" s="2">
        <v>3102</v>
      </c>
      <c r="D665" s="2">
        <f>HYPERLINK("https://my.zakupki.prom.ua/remote/dispatcher/state_contracting_view/8383349", "UA-2021-04-05-002297-c-c1")</f>
        <v/>
      </c>
      <c r="E665" t="s" s="1">
        <v>1682</v>
      </c>
      <c r="F665" t="s" s="1">
        <v>2790</v>
      </c>
      <c r="G665" t="s" s="1">
        <v>2789</v>
      </c>
      <c r="H665" t="s" s="1">
        <v>937</v>
      </c>
      <c r="I665" t="s" s="1">
        <v>2178</v>
      </c>
      <c r="J665" t="s" s="1">
        <v>3356</v>
      </c>
      <c r="K665" t="s" s="1">
        <v>814</v>
      </c>
      <c r="L665" t="s" s="1">
        <v>739</v>
      </c>
      <c r="M665" t="n" s="5">
        <v>1944.0</v>
      </c>
      <c r="N665" t="n" s="7">
        <v>44291.0</v>
      </c>
      <c r="O665" t="n" s="7">
        <v>44561.0</v>
      </c>
      <c r="P665" t="s" s="1">
        <v>3384</v>
      </c>
    </row>
    <row r="666" spans="1:16">
      <c r="A666" t="n" s="4">
        <v>662</v>
      </c>
      <c r="B666" s="2">
        <f>HYPERLINK("https://my.zakupki.prom.ua/remote/dispatcher/state_purchase_view/25628474", "UA-2021-04-08-000298-b")</f>
        <v/>
      </c>
      <c r="C666" t="s" s="2">
        <v>3102</v>
      </c>
      <c r="D666" s="2">
        <f>HYPERLINK("https://my.zakupki.prom.ua/remote/dispatcher/state_contracting_view/8442561", "UA-2021-04-08-000298-b-b1")</f>
        <v/>
      </c>
      <c r="E666" t="s" s="1">
        <v>596</v>
      </c>
      <c r="F666" t="s" s="1">
        <v>2444</v>
      </c>
      <c r="G666" t="s" s="1">
        <v>2444</v>
      </c>
      <c r="H666" t="s" s="1">
        <v>706</v>
      </c>
      <c r="I666" t="s" s="1">
        <v>2178</v>
      </c>
      <c r="J666" t="s" s="1">
        <v>3112</v>
      </c>
      <c r="K666" t="s" s="1">
        <v>802</v>
      </c>
      <c r="L666" t="s" s="1">
        <v>20</v>
      </c>
      <c r="M666" t="n" s="5">
        <v>2845.75</v>
      </c>
      <c r="N666" t="n" s="7">
        <v>44294.0</v>
      </c>
      <c r="O666" t="n" s="7">
        <v>44561.0</v>
      </c>
      <c r="P666" t="s" s="1">
        <v>3384</v>
      </c>
    </row>
    <row r="667" spans="1:16">
      <c r="A667" t="n" s="4">
        <v>663</v>
      </c>
      <c r="B667" s="2">
        <f>HYPERLINK("https://my.zakupki.prom.ua/remote/dispatcher/state_purchase_view/30761769", "UA-2021-10-13-005109-b")</f>
        <v/>
      </c>
      <c r="C667" t="s" s="2">
        <v>3102</v>
      </c>
      <c r="D667" s="2">
        <f>HYPERLINK("https://my.zakupki.prom.ua/remote/dispatcher/state_contracting_view/10850781", "UA-2021-10-13-005109-b-b1")</f>
        <v/>
      </c>
      <c r="E667" t="s" s="1">
        <v>1840</v>
      </c>
      <c r="F667" t="s" s="1">
        <v>2630</v>
      </c>
      <c r="G667" t="s" s="1">
        <v>2630</v>
      </c>
      <c r="H667" t="s" s="1">
        <v>774</v>
      </c>
      <c r="I667" t="s" s="1">
        <v>2178</v>
      </c>
      <c r="J667" t="s" s="1">
        <v>3238</v>
      </c>
      <c r="K667" t="s" s="1">
        <v>853</v>
      </c>
      <c r="L667" t="s" s="1">
        <v>3321</v>
      </c>
      <c r="M667" t="n" s="5">
        <v>12500.0</v>
      </c>
      <c r="N667" t="n" s="7">
        <v>44482.0</v>
      </c>
      <c r="O667" t="n" s="7">
        <v>44561.0</v>
      </c>
      <c r="P667" t="s" s="1">
        <v>3384</v>
      </c>
    </row>
    <row r="668" spans="1:16">
      <c r="A668" t="n" s="4">
        <v>664</v>
      </c>
      <c r="B668" s="2">
        <f>HYPERLINK("https://my.zakupki.prom.ua/remote/dispatcher/state_purchase_view/25553459", "UA-2021-04-06-000943-c")</f>
        <v/>
      </c>
      <c r="C668" t="s" s="2">
        <v>3102</v>
      </c>
      <c r="D668" s="2">
        <f>HYPERLINK("https://my.zakupki.prom.ua/remote/dispatcher/state_contracting_view/8401060", "UA-2021-04-06-000943-c-c1")</f>
        <v/>
      </c>
      <c r="E668" t="s" s="1">
        <v>397</v>
      </c>
      <c r="F668" t="s" s="1">
        <v>2682</v>
      </c>
      <c r="G668" t="s" s="1">
        <v>3514</v>
      </c>
      <c r="H668" t="s" s="1">
        <v>774</v>
      </c>
      <c r="I668" t="s" s="1">
        <v>2178</v>
      </c>
      <c r="J668" t="s" s="1">
        <v>3277</v>
      </c>
      <c r="K668" t="s" s="1">
        <v>519</v>
      </c>
      <c r="L668" t="s" s="1">
        <v>805</v>
      </c>
      <c r="M668" t="n" s="5">
        <v>219794.12</v>
      </c>
      <c r="N668" t="n" s="7">
        <v>44291.0</v>
      </c>
      <c r="O668" t="n" s="7">
        <v>44561.0</v>
      </c>
      <c r="P668" t="s" s="1">
        <v>3384</v>
      </c>
    </row>
    <row r="669" spans="1:16">
      <c r="A669" t="n" s="4">
        <v>665</v>
      </c>
      <c r="B669" s="2">
        <f>HYPERLINK("https://my.zakupki.prom.ua/remote/dispatcher/state_purchase_view/24349660", "UA-2021-02-24-006900-b")</f>
        <v/>
      </c>
      <c r="C669" t="s" s="2">
        <v>3102</v>
      </c>
      <c r="D669" s="2">
        <f>HYPERLINK("https://my.zakupki.prom.ua/remote/dispatcher/state_contracting_view/7826360", "UA-2021-02-24-006900-b-b1")</f>
        <v/>
      </c>
      <c r="E669" t="s" s="1">
        <v>1419</v>
      </c>
      <c r="F669" t="s" s="1">
        <v>2566</v>
      </c>
      <c r="G669" t="s" s="1">
        <v>2566</v>
      </c>
      <c r="H669" t="s" s="1">
        <v>764</v>
      </c>
      <c r="I669" t="s" s="1">
        <v>2178</v>
      </c>
      <c r="J669" t="s" s="1">
        <v>3286</v>
      </c>
      <c r="K669" t="s" s="1">
        <v>820</v>
      </c>
      <c r="L669" t="s" s="1">
        <v>193</v>
      </c>
      <c r="M669" t="n" s="5">
        <v>3406.88</v>
      </c>
      <c r="N669" t="n" s="7">
        <v>44251.0</v>
      </c>
      <c r="O669" t="n" s="7">
        <v>44561.0</v>
      </c>
      <c r="P669" t="s" s="1">
        <v>3384</v>
      </c>
    </row>
    <row r="670" spans="1:16">
      <c r="A670" t="n" s="4">
        <v>666</v>
      </c>
      <c r="B670" s="2">
        <f>HYPERLINK("https://my.zakupki.prom.ua/remote/dispatcher/state_purchase_view/24257606", "UA-2021-02-22-011033-b")</f>
        <v/>
      </c>
      <c r="C670" t="s" s="2">
        <v>3102</v>
      </c>
      <c r="D670" s="2">
        <f>HYPERLINK("https://my.zakupki.prom.ua/remote/dispatcher/state_contracting_view/7786874", "UA-2021-02-22-011033-b-b1")</f>
        <v/>
      </c>
      <c r="E670" t="s" s="1">
        <v>1934</v>
      </c>
      <c r="F670" t="s" s="1">
        <v>2505</v>
      </c>
      <c r="G670" t="s" s="1">
        <v>3404</v>
      </c>
      <c r="H670" t="s" s="1">
        <v>759</v>
      </c>
      <c r="I670" t="s" s="1">
        <v>2178</v>
      </c>
      <c r="J670" t="s" s="1">
        <v>3258</v>
      </c>
      <c r="K670" t="s" s="1">
        <v>776</v>
      </c>
      <c r="L670" t="s" s="1">
        <v>1188</v>
      </c>
      <c r="M670" t="n" s="5">
        <v>83620.0</v>
      </c>
      <c r="N670" t="n" s="7">
        <v>44249.0</v>
      </c>
      <c r="O670" t="n" s="7">
        <v>44561.0</v>
      </c>
      <c r="P670" t="s" s="1">
        <v>3384</v>
      </c>
    </row>
    <row r="671" spans="1:16">
      <c r="A671" t="n" s="4">
        <v>667</v>
      </c>
      <c r="B671" s="2">
        <f>HYPERLINK("https://my.zakupki.prom.ua/remote/dispatcher/state_purchase_view/24811700", "UA-2021-03-11-012095-b")</f>
        <v/>
      </c>
      <c r="C671" t="s" s="2">
        <v>3102</v>
      </c>
      <c r="D671" s="2">
        <f>HYPERLINK("https://my.zakupki.prom.ua/remote/dispatcher/state_contracting_view/8046476", "UA-2021-03-11-012095-b-b1")</f>
        <v/>
      </c>
      <c r="E671" t="s" s="1">
        <v>1322</v>
      </c>
      <c r="F671" t="s" s="1">
        <v>2683</v>
      </c>
      <c r="G671" t="s" s="1">
        <v>3515</v>
      </c>
      <c r="H671" t="s" s="1">
        <v>774</v>
      </c>
      <c r="I671" t="s" s="1">
        <v>2178</v>
      </c>
      <c r="J671" t="s" s="1">
        <v>3277</v>
      </c>
      <c r="K671" t="s" s="1">
        <v>519</v>
      </c>
      <c r="L671" t="s" s="1">
        <v>335</v>
      </c>
      <c r="M671" t="n" s="5">
        <v>29927.73</v>
      </c>
      <c r="N671" t="n" s="7">
        <v>44266.0</v>
      </c>
      <c r="O671" t="n" s="7">
        <v>44561.0</v>
      </c>
      <c r="P671" t="s" s="1">
        <v>3384</v>
      </c>
    </row>
    <row r="672" spans="1:16">
      <c r="A672" t="n" s="4">
        <v>668</v>
      </c>
      <c r="B672" s="2">
        <f>HYPERLINK("https://my.zakupki.prom.ua/remote/dispatcher/state_purchase_view/24753745", "UA-2021-03-10-008152-b")</f>
        <v/>
      </c>
      <c r="C672" t="s" s="2">
        <v>3102</v>
      </c>
      <c r="D672" s="2">
        <f>HYPERLINK("https://my.zakupki.prom.ua/remote/dispatcher/state_contracting_view/8021968", "UA-2021-03-10-008152-b-b1")</f>
        <v/>
      </c>
      <c r="E672" t="s" s="1">
        <v>1004</v>
      </c>
      <c r="F672" t="s" s="1">
        <v>2674</v>
      </c>
      <c r="G672" t="s" s="1">
        <v>2674</v>
      </c>
      <c r="H672" t="s" s="1">
        <v>774</v>
      </c>
      <c r="I672" t="s" s="1">
        <v>2178</v>
      </c>
      <c r="J672" t="s" s="1">
        <v>3258</v>
      </c>
      <c r="K672" t="s" s="1">
        <v>776</v>
      </c>
      <c r="L672" t="s" s="1">
        <v>294</v>
      </c>
      <c r="M672" t="n" s="5">
        <v>626.2</v>
      </c>
      <c r="N672" t="n" s="7">
        <v>44265.0</v>
      </c>
      <c r="O672" t="n" s="7">
        <v>44561.0</v>
      </c>
      <c r="P672" t="s" s="1">
        <v>3384</v>
      </c>
    </row>
    <row r="673" spans="1:16">
      <c r="A673" t="n" s="4">
        <v>669</v>
      </c>
      <c r="B673" s="2">
        <f>HYPERLINK("https://my.zakupki.prom.ua/remote/dispatcher/state_purchase_view/24941759", "UA-2021-03-16-008087-c")</f>
        <v/>
      </c>
      <c r="C673" t="s" s="2">
        <v>3102</v>
      </c>
      <c r="D673" s="2">
        <f>HYPERLINK("https://my.zakupki.prom.ua/remote/dispatcher/state_contracting_view/8108971", "UA-2021-03-16-008087-c-c1")</f>
        <v/>
      </c>
      <c r="E673" t="s" s="1">
        <v>1597</v>
      </c>
      <c r="F673" t="s" s="1">
        <v>2631</v>
      </c>
      <c r="G673" t="s" s="1">
        <v>2631</v>
      </c>
      <c r="H673" t="s" s="1">
        <v>774</v>
      </c>
      <c r="I673" t="s" s="1">
        <v>2178</v>
      </c>
      <c r="J673" t="s" s="1">
        <v>3302</v>
      </c>
      <c r="K673" t="s" s="1">
        <v>853</v>
      </c>
      <c r="L673" t="s" s="1">
        <v>3325</v>
      </c>
      <c r="M673" t="n" s="5">
        <v>37500.0</v>
      </c>
      <c r="N673" t="n" s="7">
        <v>44271.0</v>
      </c>
      <c r="O673" t="n" s="7">
        <v>44561.0</v>
      </c>
      <c r="P673" t="s" s="1">
        <v>3384</v>
      </c>
    </row>
    <row r="674" spans="1:16">
      <c r="A674" t="n" s="4">
        <v>670</v>
      </c>
      <c r="B674" s="2">
        <f>HYPERLINK("https://my.zakupki.prom.ua/remote/dispatcher/state_purchase_view/26524010", "UA-2021-05-14-000353-c")</f>
        <v/>
      </c>
      <c r="C674" t="s" s="2">
        <v>3102</v>
      </c>
      <c r="D674" s="2">
        <f>HYPERLINK("https://my.zakupki.prom.ua/remote/dispatcher/state_contracting_view/8866059", "UA-2021-05-14-000353-c-c1")</f>
        <v/>
      </c>
      <c r="E674" t="s" s="1">
        <v>1920</v>
      </c>
      <c r="F674" t="s" s="1">
        <v>2624</v>
      </c>
      <c r="G674" t="s" s="1">
        <v>3407</v>
      </c>
      <c r="H674" t="s" s="1">
        <v>774</v>
      </c>
      <c r="I674" t="s" s="1">
        <v>2178</v>
      </c>
      <c r="J674" t="s" s="1">
        <v>3277</v>
      </c>
      <c r="K674" t="s" s="1">
        <v>519</v>
      </c>
      <c r="L674" t="s" s="1">
        <v>1213</v>
      </c>
      <c r="M674" t="n" s="5">
        <v>85070.25</v>
      </c>
      <c r="N674" t="n" s="7">
        <v>44330.0</v>
      </c>
      <c r="O674" t="n" s="7">
        <v>44561.0</v>
      </c>
      <c r="P674" t="s" s="1">
        <v>3384</v>
      </c>
    </row>
    <row r="675" spans="1:16">
      <c r="A675" t="n" s="4">
        <v>671</v>
      </c>
      <c r="B675" s="2">
        <f>HYPERLINK("https://my.zakupki.prom.ua/remote/dispatcher/state_purchase_view/25550385", "UA-2021-04-06-001723-a")</f>
        <v/>
      </c>
      <c r="C675" t="s" s="2">
        <v>3102</v>
      </c>
      <c r="D675" s="2">
        <f>HYPERLINK("https://my.zakupki.prom.ua/remote/dispatcher/state_contracting_view/8399474", "UA-2021-04-06-001723-a-a1")</f>
        <v/>
      </c>
      <c r="E675" t="s" s="1">
        <v>1842</v>
      </c>
      <c r="F675" t="s" s="1">
        <v>2694</v>
      </c>
      <c r="G675" t="s" s="1">
        <v>3528</v>
      </c>
      <c r="H675" t="s" s="1">
        <v>774</v>
      </c>
      <c r="I675" t="s" s="1">
        <v>2178</v>
      </c>
      <c r="J675" t="s" s="1">
        <v>3277</v>
      </c>
      <c r="K675" t="s" s="1">
        <v>519</v>
      </c>
      <c r="L675" t="s" s="1">
        <v>803</v>
      </c>
      <c r="M675" t="n" s="5">
        <v>1016.71</v>
      </c>
      <c r="N675" t="n" s="7">
        <v>44291.0</v>
      </c>
      <c r="O675" t="n" s="7">
        <v>44561.0</v>
      </c>
      <c r="P675" t="s" s="1">
        <v>3384</v>
      </c>
    </row>
    <row r="676" spans="1:16">
      <c r="A676" t="n" s="4">
        <v>672</v>
      </c>
      <c r="B676" s="2">
        <f>HYPERLINK("https://my.zakupki.prom.ua/remote/dispatcher/state_purchase_view/25015170", "UA-2021-03-18-001298-a")</f>
        <v/>
      </c>
      <c r="C676" t="s" s="2">
        <v>3102</v>
      </c>
      <c r="D676" s="2">
        <f>HYPERLINK("https://my.zakupki.prom.ua/remote/dispatcher/state_contracting_view/8144590", "UA-2021-03-18-001298-a-a1")</f>
        <v/>
      </c>
      <c r="E676" t="s" s="1">
        <v>108</v>
      </c>
      <c r="F676" t="s" s="1">
        <v>3028</v>
      </c>
      <c r="G676" t="s" s="1">
        <v>3028</v>
      </c>
      <c r="H676" t="s" s="1">
        <v>1713</v>
      </c>
      <c r="I676" t="s" s="1">
        <v>2178</v>
      </c>
      <c r="J676" t="s" s="1">
        <v>3274</v>
      </c>
      <c r="K676" t="s" s="1">
        <v>870</v>
      </c>
      <c r="L676" t="s" s="1">
        <v>794</v>
      </c>
      <c r="M676" t="n" s="5">
        <v>102000.0</v>
      </c>
      <c r="N676" t="n" s="7">
        <v>44271.0</v>
      </c>
      <c r="O676" t="n" s="7">
        <v>44561.0</v>
      </c>
      <c r="P676" t="s" s="1">
        <v>3384</v>
      </c>
    </row>
    <row r="677" spans="1:16">
      <c r="A677" t="n" s="4">
        <v>673</v>
      </c>
      <c r="B677" s="2">
        <f>HYPERLINK("https://my.zakupki.prom.ua/remote/dispatcher/state_purchase_view/25060696", "UA-2021-03-19-001093-b")</f>
        <v/>
      </c>
      <c r="C677" t="s" s="2">
        <v>3102</v>
      </c>
      <c r="D677" s="2">
        <f>HYPERLINK("https://my.zakupki.prom.ua/remote/dispatcher/state_contracting_view/8166039", "UA-2021-03-19-001093-b-b1")</f>
        <v/>
      </c>
      <c r="E677" t="s" s="1">
        <v>531</v>
      </c>
      <c r="F677" t="s" s="1">
        <v>2307</v>
      </c>
      <c r="G677" t="s" s="1">
        <v>2307</v>
      </c>
      <c r="H677" t="s" s="1">
        <v>278</v>
      </c>
      <c r="I677" t="s" s="1">
        <v>2178</v>
      </c>
      <c r="J677" t="s" s="1">
        <v>3356</v>
      </c>
      <c r="K677" t="s" s="1">
        <v>814</v>
      </c>
      <c r="L677" t="s" s="1">
        <v>506</v>
      </c>
      <c r="M677" t="n" s="5">
        <v>5400.0</v>
      </c>
      <c r="N677" t="n" s="7">
        <v>44274.0</v>
      </c>
      <c r="O677" t="n" s="7">
        <v>44561.0</v>
      </c>
      <c r="P677" t="s" s="1">
        <v>3384</v>
      </c>
    </row>
    <row r="678" spans="1:16">
      <c r="A678" t="n" s="4">
        <v>674</v>
      </c>
      <c r="B678" s="2">
        <f>HYPERLINK("https://my.zakupki.prom.ua/remote/dispatcher/state_purchase_view/24899522", "UA-2021-03-15-009965-b")</f>
        <v/>
      </c>
      <c r="C678" t="s" s="2">
        <v>3102</v>
      </c>
      <c r="D678" s="2">
        <f>HYPERLINK("https://my.zakupki.prom.ua/remote/dispatcher/state_contracting_view/8089569", "UA-2021-03-15-009965-b-b1")</f>
        <v/>
      </c>
      <c r="E678" t="s" s="1">
        <v>1308</v>
      </c>
      <c r="F678" t="s" s="1">
        <v>2526</v>
      </c>
      <c r="G678" t="s" s="1">
        <v>3478</v>
      </c>
      <c r="H678" t="s" s="1">
        <v>759</v>
      </c>
      <c r="I678" t="s" s="1">
        <v>2178</v>
      </c>
      <c r="J678" t="s" s="1">
        <v>3258</v>
      </c>
      <c r="K678" t="s" s="1">
        <v>776</v>
      </c>
      <c r="L678" t="s" s="1">
        <v>1600</v>
      </c>
      <c r="M678" t="n" s="5">
        <v>95400.0</v>
      </c>
      <c r="N678" t="n" s="7">
        <v>44270.0</v>
      </c>
      <c r="O678" t="n" s="7">
        <v>44561.0</v>
      </c>
      <c r="P678" t="s" s="1">
        <v>3384</v>
      </c>
    </row>
    <row r="679" spans="1:16">
      <c r="A679" t="n" s="4">
        <v>675</v>
      </c>
      <c r="B679" s="2">
        <f>HYPERLINK("https://my.zakupki.prom.ua/remote/dispatcher/state_purchase_view/24867334", "UA-2021-03-15-000579-b")</f>
        <v/>
      </c>
      <c r="C679" t="s" s="2">
        <v>3102</v>
      </c>
      <c r="D679" s="2">
        <f>HYPERLINK("https://my.zakupki.prom.ua/remote/dispatcher/state_contracting_view/8084445", "UA-2021-03-15-000579-b-b1")</f>
        <v/>
      </c>
      <c r="E679" t="s" s="1">
        <v>1862</v>
      </c>
      <c r="F679" t="s" s="1">
        <v>2873</v>
      </c>
      <c r="G679" t="s" s="1">
        <v>2873</v>
      </c>
      <c r="H679" t="s" s="1">
        <v>1077</v>
      </c>
      <c r="I679" t="s" s="1">
        <v>2178</v>
      </c>
      <c r="J679" t="s" s="1">
        <v>3112</v>
      </c>
      <c r="K679" t="s" s="1">
        <v>802</v>
      </c>
      <c r="L679" t="s" s="1">
        <v>145</v>
      </c>
      <c r="M679" t="n" s="5">
        <v>1290.6</v>
      </c>
      <c r="N679" t="n" s="7">
        <v>44270.0</v>
      </c>
      <c r="O679" t="n" s="7">
        <v>44561.0</v>
      </c>
      <c r="P679" t="s" s="1">
        <v>3384</v>
      </c>
    </row>
    <row r="680" spans="1:16">
      <c r="A680" t="n" s="4">
        <v>676</v>
      </c>
      <c r="B680" s="2">
        <f>HYPERLINK("https://my.zakupki.prom.ua/remote/dispatcher/state_purchase_view/24748247", "UA-2021-03-10-006653-b")</f>
        <v/>
      </c>
      <c r="C680" t="s" s="2">
        <v>3102</v>
      </c>
      <c r="D680" s="2">
        <f>HYPERLINK("https://my.zakupki.prom.ua/remote/dispatcher/state_contracting_view/8022367", "UA-2021-03-10-006653-b-b1")</f>
        <v/>
      </c>
      <c r="E680" t="s" s="1">
        <v>1833</v>
      </c>
      <c r="F680" t="s" s="1">
        <v>2226</v>
      </c>
      <c r="G680" t="s" s="1">
        <v>3401</v>
      </c>
      <c r="H680" t="s" s="1">
        <v>50</v>
      </c>
      <c r="I680" t="s" s="1">
        <v>2178</v>
      </c>
      <c r="J680" t="s" s="1">
        <v>3356</v>
      </c>
      <c r="K680" t="s" s="1">
        <v>814</v>
      </c>
      <c r="L680" t="s" s="1">
        <v>292</v>
      </c>
      <c r="M680" t="n" s="5">
        <v>30490.5</v>
      </c>
      <c r="N680" t="n" s="7">
        <v>44264.0</v>
      </c>
      <c r="O680" t="n" s="7">
        <v>44561.0</v>
      </c>
      <c r="P680" t="s" s="1">
        <v>3384</v>
      </c>
    </row>
    <row r="681" spans="1:16">
      <c r="A681" t="n" s="4">
        <v>677</v>
      </c>
      <c r="B681" s="2">
        <f>HYPERLINK("https://my.zakupki.prom.ua/remote/dispatcher/state_purchase_view/26401039", "UA-2021-05-11-000337-a")</f>
        <v/>
      </c>
      <c r="C681" t="s" s="2">
        <v>3102</v>
      </c>
      <c r="D681" s="2">
        <f>HYPERLINK("https://my.zakupki.prom.ua/remote/dispatcher/state_contracting_view/8810193", "UA-2021-05-11-000337-a-a1")</f>
        <v/>
      </c>
      <c r="E681" t="s" s="1">
        <v>1554</v>
      </c>
      <c r="F681" t="s" s="1">
        <v>2642</v>
      </c>
      <c r="G681" t="s" s="1">
        <v>3437</v>
      </c>
      <c r="H681" t="s" s="1">
        <v>774</v>
      </c>
      <c r="I681" t="s" s="1">
        <v>2178</v>
      </c>
      <c r="J681" t="s" s="1">
        <v>3261</v>
      </c>
      <c r="K681" t="s" s="1">
        <v>1012</v>
      </c>
      <c r="L681" t="s" s="1">
        <v>1181</v>
      </c>
      <c r="M681" t="n" s="5">
        <v>204360.0</v>
      </c>
      <c r="N681" t="n" s="7">
        <v>44327.0</v>
      </c>
      <c r="O681" t="n" s="7">
        <v>44561.0</v>
      </c>
      <c r="P681" t="s" s="1">
        <v>3384</v>
      </c>
    </row>
    <row r="682" spans="1:16">
      <c r="A682" t="n" s="4">
        <v>678</v>
      </c>
      <c r="B682" s="2">
        <f>HYPERLINK("https://my.zakupki.prom.ua/remote/dispatcher/state_purchase_view/26382129", "UA-2021-05-07-004197-b")</f>
        <v/>
      </c>
      <c r="C682" t="s" s="2">
        <v>3102</v>
      </c>
      <c r="D682" s="2">
        <f>HYPERLINK("https://my.zakupki.prom.ua/remote/dispatcher/state_contracting_view/8798672", "UA-2021-05-07-004197-b-b1")</f>
        <v/>
      </c>
      <c r="E682" t="s" s="1">
        <v>1543</v>
      </c>
      <c r="F682" t="s" s="1">
        <v>2216</v>
      </c>
      <c r="G682" t="s" s="1">
        <v>2216</v>
      </c>
      <c r="H682" t="s" s="1">
        <v>774</v>
      </c>
      <c r="I682" t="s" s="1">
        <v>2178</v>
      </c>
      <c r="J682" t="s" s="1">
        <v>3277</v>
      </c>
      <c r="K682" t="s" s="1">
        <v>519</v>
      </c>
      <c r="L682" t="s" s="1">
        <v>1181</v>
      </c>
      <c r="M682" t="n" s="5">
        <v>44971.24</v>
      </c>
      <c r="N682" t="n" s="7">
        <v>44323.0</v>
      </c>
      <c r="O682" t="n" s="7">
        <v>44561.0</v>
      </c>
      <c r="P682" t="s" s="1">
        <v>3384</v>
      </c>
    </row>
    <row r="683" spans="1:16">
      <c r="A683" t="n" s="4">
        <v>679</v>
      </c>
      <c r="B683" s="2">
        <f>HYPERLINK("https://my.zakupki.prom.ua/remote/dispatcher/state_purchase_view/24975637", "UA-2021-03-17-005447-c")</f>
        <v/>
      </c>
      <c r="C683" t="s" s="2">
        <v>3102</v>
      </c>
      <c r="D683" s="2">
        <f>HYPERLINK("https://my.zakupki.prom.ua/remote/dispatcher/state_contracting_view/8126419", "UA-2021-03-17-005447-c-c1")</f>
        <v/>
      </c>
      <c r="E683" t="s" s="1">
        <v>954</v>
      </c>
      <c r="F683" t="s" s="1">
        <v>2460</v>
      </c>
      <c r="G683" t="s" s="1">
        <v>2460</v>
      </c>
      <c r="H683" t="s" s="1">
        <v>708</v>
      </c>
      <c r="I683" t="s" s="1">
        <v>2178</v>
      </c>
      <c r="J683" t="s" s="1">
        <v>3278</v>
      </c>
      <c r="K683" t="s" s="1">
        <v>734</v>
      </c>
      <c r="L683" t="s" s="1">
        <v>214</v>
      </c>
      <c r="M683" t="n" s="5">
        <v>2824.8</v>
      </c>
      <c r="N683" t="n" s="7">
        <v>44272.0</v>
      </c>
      <c r="O683" t="n" s="7">
        <v>44561.0</v>
      </c>
      <c r="P683" t="s" s="1">
        <v>3384</v>
      </c>
    </row>
    <row r="684" spans="1:16">
      <c r="A684" t="n" s="4">
        <v>680</v>
      </c>
      <c r="B684" s="2">
        <f>HYPERLINK("https://my.zakupki.prom.ua/remote/dispatcher/state_purchase_view/30524876", "UA-2021-10-06-004353-b")</f>
        <v/>
      </c>
      <c r="C684" t="s" s="2">
        <v>3102</v>
      </c>
      <c r="D684" s="2">
        <f>HYPERLINK("https://my.zakupki.prom.ua/remote/dispatcher/state_contracting_view/10753497", "UA-2021-10-06-004353-b-b1")</f>
        <v/>
      </c>
      <c r="E684" t="s" s="1">
        <v>2053</v>
      </c>
      <c r="F684" t="s" s="1">
        <v>2366</v>
      </c>
      <c r="G684" t="s" s="1">
        <v>2366</v>
      </c>
      <c r="H684" t="s" s="1">
        <v>528</v>
      </c>
      <c r="I684" t="s" s="1">
        <v>2178</v>
      </c>
      <c r="J684" t="s" s="1">
        <v>3248</v>
      </c>
      <c r="K684" t="s" s="1">
        <v>800</v>
      </c>
      <c r="L684" t="s" s="1">
        <v>291</v>
      </c>
      <c r="M684" t="n" s="5">
        <v>400800.0</v>
      </c>
      <c r="N684" t="n" s="7">
        <v>44475.0</v>
      </c>
      <c r="O684" t="n" s="7">
        <v>44561.0</v>
      </c>
      <c r="P684" t="s" s="1">
        <v>3384</v>
      </c>
    </row>
    <row r="685" spans="1:16">
      <c r="A685" t="n" s="4">
        <v>681</v>
      </c>
      <c r="B685" s="2">
        <f>HYPERLINK("https://my.zakupki.prom.ua/remote/dispatcher/state_purchase_view/30403610", "UA-2021-10-01-003714-b")</f>
        <v/>
      </c>
      <c r="C685" t="s" s="2">
        <v>3102</v>
      </c>
      <c r="D685" s="2">
        <f>HYPERLINK("https://my.zakupki.prom.ua/remote/dispatcher/state_contracting_view/10686297", "UA-2021-10-01-003714-b-b1")</f>
        <v/>
      </c>
      <c r="E685" t="s" s="1">
        <v>1226</v>
      </c>
      <c r="F685" t="s" s="1">
        <v>2346</v>
      </c>
      <c r="G685" t="s" s="1">
        <v>2346</v>
      </c>
      <c r="H685" t="s" s="1">
        <v>478</v>
      </c>
      <c r="I685" t="s" s="1">
        <v>2178</v>
      </c>
      <c r="J685" t="s" s="1">
        <v>3296</v>
      </c>
      <c r="K685" t="s" s="1">
        <v>831</v>
      </c>
      <c r="L685" t="s" s="1">
        <v>7</v>
      </c>
      <c r="M685" t="n" s="5">
        <v>2760.0</v>
      </c>
      <c r="N685" t="n" s="7">
        <v>44470.0</v>
      </c>
      <c r="O685" t="n" s="7">
        <v>44561.0</v>
      </c>
      <c r="P685" t="s" s="1">
        <v>3384</v>
      </c>
    </row>
    <row r="686" spans="1:16">
      <c r="A686" t="n" s="4">
        <v>682</v>
      </c>
      <c r="B686" s="2">
        <f>HYPERLINK("https://my.zakupki.prom.ua/remote/dispatcher/state_purchase_view/31003676", "UA-2021-10-22-006107-b")</f>
        <v/>
      </c>
      <c r="C686" t="s" s="2">
        <v>3102</v>
      </c>
      <c r="D686" s="2">
        <f>HYPERLINK("https://my.zakupki.prom.ua/remote/dispatcher/state_contracting_view/10965589", "UA-2021-10-22-006107-b-b1")</f>
        <v/>
      </c>
      <c r="E686" t="s" s="1">
        <v>1229</v>
      </c>
      <c r="F686" t="s" s="1">
        <v>2448</v>
      </c>
      <c r="G686" t="s" s="1">
        <v>2448</v>
      </c>
      <c r="H686" t="s" s="1">
        <v>706</v>
      </c>
      <c r="I686" t="s" s="1">
        <v>2178</v>
      </c>
      <c r="J686" t="s" s="1">
        <v>2141</v>
      </c>
      <c r="K686" t="s" s="1">
        <v>438</v>
      </c>
      <c r="L686" t="s" s="1">
        <v>1518</v>
      </c>
      <c r="M686" t="n" s="5">
        <v>5720.0</v>
      </c>
      <c r="N686" t="n" s="7">
        <v>44491.0</v>
      </c>
      <c r="O686" t="n" s="7">
        <v>44561.0</v>
      </c>
      <c r="P686" t="s" s="1">
        <v>3384</v>
      </c>
    </row>
    <row r="687" spans="1:16">
      <c r="A687" t="n" s="4">
        <v>683</v>
      </c>
      <c r="B687" s="2">
        <f>HYPERLINK("https://my.zakupki.prom.ua/remote/dispatcher/state_purchase_view/29432128", "UA-2021-09-01-001479-a")</f>
        <v/>
      </c>
      <c r="C687" t="s" s="2">
        <v>3102</v>
      </c>
      <c r="D687" s="2">
        <f>HYPERLINK("https://my.zakupki.prom.ua/remote/dispatcher/state_contracting_view/10237995", "UA-2021-09-01-001479-a-a1")</f>
        <v/>
      </c>
      <c r="E687" t="s" s="1">
        <v>2078</v>
      </c>
      <c r="F687" t="s" s="1">
        <v>2489</v>
      </c>
      <c r="G687" t="s" s="1">
        <v>2489</v>
      </c>
      <c r="H687" t="s" s="1">
        <v>758</v>
      </c>
      <c r="I687" t="s" s="1">
        <v>2178</v>
      </c>
      <c r="J687" t="s" s="1">
        <v>3215</v>
      </c>
      <c r="K687" t="s" s="1">
        <v>519</v>
      </c>
      <c r="L687" t="s" s="1">
        <v>1391</v>
      </c>
      <c r="M687" t="n" s="5">
        <v>2123.09</v>
      </c>
      <c r="N687" t="n" s="7">
        <v>44440.0</v>
      </c>
      <c r="O687" t="n" s="7">
        <v>44561.0</v>
      </c>
      <c r="P687" t="s" s="1">
        <v>3384</v>
      </c>
    </row>
    <row r="688" spans="1:16">
      <c r="A688" t="n" s="4">
        <v>684</v>
      </c>
      <c r="B688" s="2">
        <f>HYPERLINK("https://my.zakupki.prom.ua/remote/dispatcher/state_purchase_view/25242737", "UA-2021-03-25-009150-c")</f>
        <v/>
      </c>
      <c r="C688" t="s" s="2">
        <v>3102</v>
      </c>
      <c r="D688" s="2">
        <f>HYPERLINK("https://my.zakupki.prom.ua/remote/dispatcher/state_contracting_view/8273901", "UA-2021-03-25-009150-c-c1")</f>
        <v/>
      </c>
      <c r="E688" t="s" s="1">
        <v>1852</v>
      </c>
      <c r="F688" t="s" s="1">
        <v>2745</v>
      </c>
      <c r="G688" t="s" s="1">
        <v>3418</v>
      </c>
      <c r="H688" t="s" s="1">
        <v>906</v>
      </c>
      <c r="I688" t="s" s="1">
        <v>2178</v>
      </c>
      <c r="J688" t="s" s="1">
        <v>3126</v>
      </c>
      <c r="K688" t="s" s="1">
        <v>564</v>
      </c>
      <c r="L688" t="s" s="1">
        <v>591</v>
      </c>
      <c r="M688" t="n" s="5">
        <v>19260.0</v>
      </c>
      <c r="N688" t="n" s="7">
        <v>44280.0</v>
      </c>
      <c r="O688" t="n" s="7">
        <v>44561.0</v>
      </c>
      <c r="P688" t="s" s="1">
        <v>3384</v>
      </c>
    </row>
    <row r="689" spans="1:16">
      <c r="A689" t="n" s="4">
        <v>685</v>
      </c>
      <c r="B689" s="2">
        <f>HYPERLINK("https://my.zakupki.prom.ua/remote/dispatcher/state_purchase_view/25273987", "UA-2021-03-26-014786-c")</f>
        <v/>
      </c>
      <c r="C689" t="s" s="2">
        <v>3102</v>
      </c>
      <c r="D689" s="2">
        <f>HYPERLINK("https://my.zakupki.prom.ua/remote/dispatcher/state_contracting_view/8289352", "UA-2021-03-26-014786-c-c1")</f>
        <v/>
      </c>
      <c r="E689" t="s" s="1">
        <v>1370</v>
      </c>
      <c r="F689" t="s" s="1">
        <v>2669</v>
      </c>
      <c r="G689" t="s" s="1">
        <v>3494</v>
      </c>
      <c r="H689" t="s" s="1">
        <v>774</v>
      </c>
      <c r="I689" t="s" s="1">
        <v>2178</v>
      </c>
      <c r="J689" t="s" s="1">
        <v>3277</v>
      </c>
      <c r="K689" t="s" s="1">
        <v>519</v>
      </c>
      <c r="L689" t="s" s="1">
        <v>625</v>
      </c>
      <c r="M689" t="n" s="5">
        <v>200848.37</v>
      </c>
      <c r="N689" t="n" s="7">
        <v>44281.0</v>
      </c>
      <c r="O689" t="n" s="7">
        <v>44561.0</v>
      </c>
      <c r="P689" t="s" s="1">
        <v>3384</v>
      </c>
    </row>
    <row r="690" spans="1:16">
      <c r="A690" t="n" s="4">
        <v>686</v>
      </c>
      <c r="B690" s="2">
        <f>HYPERLINK("https://my.zakupki.prom.ua/remote/dispatcher/state_purchase_view/25259984", "UA-2021-03-26-003099-a")</f>
        <v/>
      </c>
      <c r="C690" t="s" s="2">
        <v>3102</v>
      </c>
      <c r="D690" s="2">
        <f>HYPERLINK("https://my.zakupki.prom.ua/remote/dispatcher/state_contracting_view/8280445", "UA-2021-03-26-003099-a-a1")</f>
        <v/>
      </c>
      <c r="E690" t="s" s="1">
        <v>1948</v>
      </c>
      <c r="F690" t="s" s="1">
        <v>2813</v>
      </c>
      <c r="G690" t="s" s="1">
        <v>2814</v>
      </c>
      <c r="H690" t="s" s="1">
        <v>1059</v>
      </c>
      <c r="I690" t="s" s="1">
        <v>2178</v>
      </c>
      <c r="J690" t="s" s="1">
        <v>3112</v>
      </c>
      <c r="K690" t="s" s="1">
        <v>802</v>
      </c>
      <c r="L690" t="s" s="1">
        <v>210</v>
      </c>
      <c r="M690" t="n" s="5">
        <v>2269.0</v>
      </c>
      <c r="N690" t="n" s="7">
        <v>44281.0</v>
      </c>
      <c r="O690" t="n" s="7">
        <v>44561.0</v>
      </c>
      <c r="P690" t="s" s="1">
        <v>3384</v>
      </c>
    </row>
    <row r="691" spans="1:16">
      <c r="A691" t="n" s="4">
        <v>687</v>
      </c>
      <c r="B691" s="2">
        <f>HYPERLINK("https://my.zakupki.prom.ua/remote/dispatcher/state_purchase_view/24739294", "UA-2021-03-10-004229-b")</f>
        <v/>
      </c>
      <c r="C691" t="s" s="2">
        <v>3102</v>
      </c>
      <c r="D691" s="2">
        <f>HYPERLINK("https://my.zakupki.prom.ua/remote/dispatcher/state_contracting_view/8353559", "UA-2021-03-10-004229-b-b1")</f>
        <v/>
      </c>
      <c r="E691" t="s" s="1">
        <v>798</v>
      </c>
      <c r="F691" t="s" s="1">
        <v>2569</v>
      </c>
      <c r="G691" t="s" s="1">
        <v>1797</v>
      </c>
      <c r="H691" t="s" s="1">
        <v>774</v>
      </c>
      <c r="I691" t="s" s="1">
        <v>3171</v>
      </c>
      <c r="J691" t="s" s="1">
        <v>3166</v>
      </c>
      <c r="K691" t="s" s="1">
        <v>1047</v>
      </c>
      <c r="L691" t="s" s="1">
        <v>695</v>
      </c>
      <c r="M691" t="n" s="5">
        <v>103484.02</v>
      </c>
      <c r="N691" t="n" s="7">
        <v>44287.0</v>
      </c>
      <c r="O691" t="n" s="7">
        <v>44561.0</v>
      </c>
      <c r="P691" t="s" s="1">
        <v>3384</v>
      </c>
    </row>
    <row r="692" spans="1:16">
      <c r="A692" t="n" s="4">
        <v>688</v>
      </c>
      <c r="B692" s="2">
        <f>HYPERLINK("https://my.zakupki.prom.ua/remote/dispatcher/state_purchase_view/22893309", "UA-2021-01-11-000176-c")</f>
        <v/>
      </c>
      <c r="C692" t="s" s="2">
        <v>3102</v>
      </c>
      <c r="D692" s="2">
        <f>HYPERLINK("https://my.zakupki.prom.ua/remote/dispatcher/state_contracting_view/7575350", "UA-2021-01-11-000176-c-b1")</f>
        <v/>
      </c>
      <c r="E692" t="s" s="1">
        <v>1731</v>
      </c>
      <c r="F692" t="s" s="1">
        <v>2217</v>
      </c>
      <c r="G692" t="s" s="1">
        <v>2128</v>
      </c>
      <c r="H692" t="s" s="1">
        <v>777</v>
      </c>
      <c r="I692" t="s" s="1">
        <v>2142</v>
      </c>
      <c r="J692" t="s" s="1">
        <v>3337</v>
      </c>
      <c r="K692" t="s" s="1">
        <v>747</v>
      </c>
      <c r="L692" t="s" s="1">
        <v>1674</v>
      </c>
      <c r="M692" t="n" s="5">
        <v>426400.0</v>
      </c>
      <c r="N692" t="n" s="7">
        <v>44236.0</v>
      </c>
      <c r="O692" t="n" s="7">
        <v>44561.0</v>
      </c>
      <c r="P692" t="s" s="1">
        <v>3384</v>
      </c>
    </row>
    <row r="693" spans="1:16">
      <c r="A693" t="n" s="4">
        <v>689</v>
      </c>
      <c r="B693" s="2">
        <f>HYPERLINK("https://my.zakupki.prom.ua/remote/dispatcher/state_purchase_view/33705897", "UA-2021-12-24-009157-c")</f>
        <v/>
      </c>
      <c r="C693" t="s" s="2">
        <v>3102</v>
      </c>
      <c r="D693" s="2">
        <f>HYPERLINK("https://my.zakupki.prom.ua/remote/dispatcher/state_contracting_view/12231807", "UA-2021-12-24-009157-c-c1")</f>
        <v/>
      </c>
      <c r="E693" t="s" s="1">
        <v>1739</v>
      </c>
      <c r="F693" t="s" s="1">
        <v>2440</v>
      </c>
      <c r="G693" t="s" s="1">
        <v>1</v>
      </c>
      <c r="H693" t="s" s="1">
        <v>704</v>
      </c>
      <c r="I693" t="s" s="1">
        <v>2178</v>
      </c>
      <c r="J693" t="s" s="1">
        <v>2145</v>
      </c>
      <c r="K693" t="s" s="1">
        <v>801</v>
      </c>
      <c r="L693" t="s" s="1">
        <v>1707</v>
      </c>
      <c r="M693" t="n" s="5">
        <v>1850.0</v>
      </c>
      <c r="N693" t="n" s="7">
        <v>44554.0</v>
      </c>
      <c r="O693" t="n" s="7">
        <v>44561.0</v>
      </c>
      <c r="P693" t="s" s="1">
        <v>3384</v>
      </c>
    </row>
    <row r="694" spans="1:16">
      <c r="A694" t="n" s="4">
        <v>690</v>
      </c>
      <c r="B694" s="2">
        <f>HYPERLINK("https://my.zakupki.prom.ua/remote/dispatcher/state_purchase_view/26507048", "UA-2021-05-13-002943-a")</f>
        <v/>
      </c>
      <c r="C694" t="s" s="2">
        <v>3102</v>
      </c>
      <c r="D694" s="2">
        <f>HYPERLINK("https://my.zakupki.prom.ua/remote/dispatcher/state_contracting_view/8859207", "UA-2021-05-13-002943-a-a1")</f>
        <v/>
      </c>
      <c r="E694" t="s" s="1">
        <v>1548</v>
      </c>
      <c r="F694" t="s" s="1">
        <v>2306</v>
      </c>
      <c r="G694" t="s" s="1">
        <v>2306</v>
      </c>
      <c r="H694" t="s" s="1">
        <v>278</v>
      </c>
      <c r="I694" t="s" s="1">
        <v>2178</v>
      </c>
      <c r="J694" t="s" s="1">
        <v>3356</v>
      </c>
      <c r="K694" t="s" s="1">
        <v>814</v>
      </c>
      <c r="L694" t="s" s="1">
        <v>1210</v>
      </c>
      <c r="M694" t="n" s="5">
        <v>2700.0</v>
      </c>
      <c r="N694" t="n" s="7">
        <v>44329.0</v>
      </c>
      <c r="O694" t="n" s="7">
        <v>44561.0</v>
      </c>
      <c r="P694" t="s" s="1">
        <v>3384</v>
      </c>
    </row>
    <row r="695" spans="1:16">
      <c r="A695" t="n" s="4">
        <v>691</v>
      </c>
      <c r="B695" s="2">
        <f>HYPERLINK("https://my.zakupki.prom.ua/remote/dispatcher/state_purchase_view/26506072", "UA-2021-05-13-002643-a")</f>
        <v/>
      </c>
      <c r="C695" t="s" s="2">
        <v>3102</v>
      </c>
      <c r="D695" s="2">
        <f>HYPERLINK("https://my.zakupki.prom.ua/remote/dispatcher/state_contracting_view/8859486", "UA-2021-05-13-002643-a-a1")</f>
        <v/>
      </c>
      <c r="E695" t="s" s="1">
        <v>1788</v>
      </c>
      <c r="F695" t="s" s="1">
        <v>2265</v>
      </c>
      <c r="G695" t="s" s="1">
        <v>2265</v>
      </c>
      <c r="H695" t="s" s="1">
        <v>255</v>
      </c>
      <c r="I695" t="s" s="1">
        <v>2178</v>
      </c>
      <c r="J695" t="s" s="1">
        <v>3356</v>
      </c>
      <c r="K695" t="s" s="1">
        <v>814</v>
      </c>
      <c r="L695" t="s" s="1">
        <v>1211</v>
      </c>
      <c r="M695" t="n" s="5">
        <v>12998.3</v>
      </c>
      <c r="N695" t="n" s="7">
        <v>44329.0</v>
      </c>
      <c r="O695" t="n" s="7">
        <v>44561.0</v>
      </c>
      <c r="P695" t="s" s="1">
        <v>3384</v>
      </c>
    </row>
    <row r="696" spans="1:16">
      <c r="A696" t="n" s="4">
        <v>692</v>
      </c>
      <c r="B696" s="2">
        <f>HYPERLINK("https://my.zakupki.prom.ua/remote/dispatcher/state_purchase_view/25561177", "UA-2021-04-06-002446-c")</f>
        <v/>
      </c>
      <c r="C696" t="s" s="2">
        <v>3102</v>
      </c>
      <c r="D696" s="2">
        <f>HYPERLINK("https://my.zakupki.prom.ua/remote/dispatcher/state_contracting_view/8404470", "UA-2021-04-06-002446-c-c1")</f>
        <v/>
      </c>
      <c r="E696" t="s" s="1">
        <v>1975</v>
      </c>
      <c r="F696" t="s" s="1">
        <v>2752</v>
      </c>
      <c r="G696" t="s" s="1">
        <v>2752</v>
      </c>
      <c r="H696" t="s" s="1">
        <v>914</v>
      </c>
      <c r="I696" t="s" s="1">
        <v>2178</v>
      </c>
      <c r="J696" t="s" s="1">
        <v>3356</v>
      </c>
      <c r="K696" t="s" s="1">
        <v>814</v>
      </c>
      <c r="L696" t="s" s="1">
        <v>812</v>
      </c>
      <c r="M696" t="n" s="5">
        <v>2700.0</v>
      </c>
      <c r="N696" t="n" s="7">
        <v>44292.0</v>
      </c>
      <c r="O696" t="n" s="7">
        <v>44561.0</v>
      </c>
      <c r="P696" t="s" s="1">
        <v>3384</v>
      </c>
    </row>
    <row r="697" spans="1:16">
      <c r="A697" t="n" s="4">
        <v>693</v>
      </c>
      <c r="B697" s="2">
        <f>HYPERLINK("https://my.zakupki.prom.ua/remote/dispatcher/state_purchase_view/23752256", "UA-2021-02-08-003935-a")</f>
        <v/>
      </c>
      <c r="C697" t="s" s="2">
        <v>3102</v>
      </c>
      <c r="D697" s="2">
        <f>HYPERLINK("https://my.zakupki.prom.ua/remote/dispatcher/state_contracting_view/7550183", "UA-2021-02-08-003935-a-a1")</f>
        <v/>
      </c>
      <c r="E697" t="s" s="1">
        <v>818</v>
      </c>
      <c r="F697" t="s" s="1">
        <v>2773</v>
      </c>
      <c r="G697" t="s" s="1">
        <v>2773</v>
      </c>
      <c r="H697" t="s" s="1">
        <v>923</v>
      </c>
      <c r="I697" t="s" s="1">
        <v>2178</v>
      </c>
      <c r="J697" t="s" s="1">
        <v>3271</v>
      </c>
      <c r="K697" t="s" s="1">
        <v>694</v>
      </c>
      <c r="L697" t="s" s="1">
        <v>120</v>
      </c>
      <c r="M697" t="n" s="5">
        <v>1980.0</v>
      </c>
      <c r="N697" t="n" s="7">
        <v>44232.0</v>
      </c>
      <c r="O697" t="n" s="7">
        <v>44561.0</v>
      </c>
      <c r="P697" t="s" s="1">
        <v>3384</v>
      </c>
    </row>
    <row r="698" spans="1:16">
      <c r="A698" t="n" s="4">
        <v>694</v>
      </c>
      <c r="B698" s="2">
        <f>HYPERLINK("https://my.zakupki.prom.ua/remote/dispatcher/state_purchase_view/23265759", "UA-2021-01-26-004560-b")</f>
        <v/>
      </c>
      <c r="C698" t="s" s="2">
        <v>3102</v>
      </c>
      <c r="D698" s="2">
        <f>HYPERLINK("https://my.zakupki.prom.ua/remote/dispatcher/state_contracting_view/7338063", "UA-2021-01-26-004560-b-b1")</f>
        <v/>
      </c>
      <c r="E698" t="s" s="1">
        <v>2002</v>
      </c>
      <c r="F698" t="s" s="1">
        <v>2981</v>
      </c>
      <c r="G698" t="s" s="1">
        <v>2981</v>
      </c>
      <c r="H698" t="s" s="1">
        <v>1462</v>
      </c>
      <c r="I698" t="s" s="1">
        <v>2178</v>
      </c>
      <c r="J698" t="s" s="1">
        <v>3260</v>
      </c>
      <c r="K698" t="s" s="1">
        <v>990</v>
      </c>
      <c r="L698" t="s" s="1">
        <v>1221</v>
      </c>
      <c r="M698" t="n" s="5">
        <v>47000.0</v>
      </c>
      <c r="N698" t="n" s="7">
        <v>44221.0</v>
      </c>
      <c r="O698" t="n" s="7">
        <v>44561.0</v>
      </c>
      <c r="P698" t="s" s="1">
        <v>3384</v>
      </c>
    </row>
    <row r="699" spans="1:16">
      <c r="A699" t="n" s="4">
        <v>695</v>
      </c>
      <c r="B699" s="2">
        <f>HYPERLINK("https://my.zakupki.prom.ua/remote/dispatcher/state_purchase_view/23181681", "UA-2021-01-22-010403-b")</f>
        <v/>
      </c>
      <c r="C699" t="s" s="2">
        <v>3102</v>
      </c>
      <c r="D699" s="2">
        <f>HYPERLINK("https://my.zakupki.prom.ua/remote/dispatcher/state_contracting_view/7303940", "UA-2021-01-22-010403-b-b1")</f>
        <v/>
      </c>
      <c r="E699" t="s" s="1">
        <v>584</v>
      </c>
      <c r="F699" t="s" s="1">
        <v>2834</v>
      </c>
      <c r="G699" t="s" s="1">
        <v>3147</v>
      </c>
      <c r="H699" t="s" s="1">
        <v>1063</v>
      </c>
      <c r="I699" t="s" s="1">
        <v>2178</v>
      </c>
      <c r="J699" t="s" s="1">
        <v>3278</v>
      </c>
      <c r="K699" t="s" s="1">
        <v>734</v>
      </c>
      <c r="L699" t="s" s="1">
        <v>1792</v>
      </c>
      <c r="M699" t="n" s="5">
        <v>11728.2</v>
      </c>
      <c r="N699" t="n" s="7">
        <v>44217.0</v>
      </c>
      <c r="O699" t="n" s="7">
        <v>44561.0</v>
      </c>
      <c r="P699" t="s" s="1">
        <v>3384</v>
      </c>
    </row>
    <row r="700" spans="1:16">
      <c r="A700" t="n" s="4">
        <v>696</v>
      </c>
      <c r="B700" s="2">
        <f>HYPERLINK("https://my.zakupki.prom.ua/remote/dispatcher/state_purchase_view/24434326", "UA-2021-02-26-004611-a")</f>
        <v/>
      </c>
      <c r="C700" t="s" s="2">
        <v>3102</v>
      </c>
      <c r="D700" s="2">
        <f>HYPERLINK("https://my.zakupki.prom.ua/remote/dispatcher/state_contracting_view/7871101", "UA-2021-02-26-004611-a-a1")</f>
        <v/>
      </c>
      <c r="E700" t="s" s="1">
        <v>66</v>
      </c>
      <c r="F700" t="s" s="1">
        <v>2291</v>
      </c>
      <c r="G700" t="s" s="1">
        <v>2290</v>
      </c>
      <c r="H700" t="s" s="1">
        <v>273</v>
      </c>
      <c r="I700" t="s" s="1">
        <v>2178</v>
      </c>
      <c r="J700" t="s" s="1">
        <v>3356</v>
      </c>
      <c r="K700" t="s" s="1">
        <v>814</v>
      </c>
      <c r="L700" t="s" s="1">
        <v>219</v>
      </c>
      <c r="M700" t="n" s="5">
        <v>19090.0</v>
      </c>
      <c r="N700" t="n" s="7">
        <v>44252.0</v>
      </c>
      <c r="O700" t="n" s="7">
        <v>44561.0</v>
      </c>
      <c r="P700" t="s" s="1">
        <v>3384</v>
      </c>
    </row>
    <row r="701" spans="1:16">
      <c r="A701" t="n" s="4">
        <v>697</v>
      </c>
      <c r="B701" s="2">
        <f>HYPERLINK("https://my.zakupki.prom.ua/remote/dispatcher/state_purchase_view/30404603", "UA-2021-10-01-004086-b")</f>
        <v/>
      </c>
      <c r="C701" t="s" s="2">
        <v>3102</v>
      </c>
      <c r="D701" s="2">
        <f>HYPERLINK("https://my.zakupki.prom.ua/remote/dispatcher/state_contracting_view/10694202", "UA-2021-10-01-004086-b-b1")</f>
        <v/>
      </c>
      <c r="E701" t="s" s="1">
        <v>1819</v>
      </c>
      <c r="F701" t="s" s="1">
        <v>2660</v>
      </c>
      <c r="G701" t="s" s="1">
        <v>2660</v>
      </c>
      <c r="H701" t="s" s="1">
        <v>774</v>
      </c>
      <c r="I701" t="s" s="1">
        <v>2178</v>
      </c>
      <c r="J701" t="s" s="1">
        <v>3210</v>
      </c>
      <c r="K701" t="s" s="1">
        <v>776</v>
      </c>
      <c r="L701" t="s" s="1">
        <v>688</v>
      </c>
      <c r="M701" t="n" s="5">
        <v>1452.0</v>
      </c>
      <c r="N701" t="n" s="7">
        <v>44469.0</v>
      </c>
      <c r="O701" t="n" s="7">
        <v>44561.0</v>
      </c>
      <c r="P701" t="s" s="1">
        <v>3384</v>
      </c>
    </row>
    <row r="702" spans="1:16">
      <c r="A702" t="n" s="4">
        <v>698</v>
      </c>
      <c r="B702" s="2">
        <f>HYPERLINK("https://my.zakupki.prom.ua/remote/dispatcher/state_purchase_view/28325452", "UA-2021-07-19-003466-b")</f>
        <v/>
      </c>
      <c r="C702" t="s" s="2">
        <v>3102</v>
      </c>
      <c r="D702" s="2">
        <f>HYPERLINK("https://my.zakupki.prom.ua/remote/dispatcher/state_contracting_view/9720087", "UA-2021-07-19-003466-b-b1")</f>
        <v/>
      </c>
      <c r="E702" t="s" s="1">
        <v>1985</v>
      </c>
      <c r="F702" t="s" s="1">
        <v>2599</v>
      </c>
      <c r="G702" t="s" s="1">
        <v>3358</v>
      </c>
      <c r="H702" t="s" s="1">
        <v>774</v>
      </c>
      <c r="I702" t="s" s="1">
        <v>2178</v>
      </c>
      <c r="J702" t="s" s="1">
        <v>3244</v>
      </c>
      <c r="K702" t="s" s="1">
        <v>519</v>
      </c>
      <c r="L702" t="s" s="1">
        <v>1349</v>
      </c>
      <c r="M702" t="n" s="5">
        <v>6323.35</v>
      </c>
      <c r="N702" t="n" s="7">
        <v>44396.0</v>
      </c>
      <c r="O702" t="n" s="7">
        <v>44561.0</v>
      </c>
      <c r="P702" t="s" s="1">
        <v>3384</v>
      </c>
    </row>
    <row r="703" spans="1:16">
      <c r="A703" t="n" s="4">
        <v>699</v>
      </c>
      <c r="B703" s="2">
        <f>HYPERLINK("https://my.zakupki.prom.ua/remote/dispatcher/state_purchase_view/27367059", "UA-2021-06-10-007413-b")</f>
        <v/>
      </c>
      <c r="C703" t="s" s="2">
        <v>3102</v>
      </c>
      <c r="D703" s="2">
        <f>HYPERLINK("https://my.zakupki.prom.ua/remote/dispatcher/state_contracting_view/9265283", "UA-2021-06-10-007413-b-b1")</f>
        <v/>
      </c>
      <c r="E703" t="s" s="1">
        <v>1926</v>
      </c>
      <c r="F703" t="s" s="1">
        <v>2608</v>
      </c>
      <c r="G703" t="s" s="1">
        <v>3362</v>
      </c>
      <c r="H703" t="s" s="1">
        <v>774</v>
      </c>
      <c r="I703" t="s" s="1">
        <v>2178</v>
      </c>
      <c r="J703" t="s" s="1">
        <v>3258</v>
      </c>
      <c r="K703" t="s" s="1">
        <v>776</v>
      </c>
      <c r="L703" t="s" s="1">
        <v>456</v>
      </c>
      <c r="M703" t="n" s="5">
        <v>428.04</v>
      </c>
      <c r="N703" t="n" s="7">
        <v>44356.0</v>
      </c>
      <c r="O703" t="n" s="7">
        <v>44561.0</v>
      </c>
      <c r="P703" t="s" s="1">
        <v>3384</v>
      </c>
    </row>
    <row r="704" spans="1:16">
      <c r="A704" t="n" s="4">
        <v>700</v>
      </c>
      <c r="B704" s="2">
        <f>HYPERLINK("https://my.zakupki.prom.ua/remote/dispatcher/state_purchase_view/25534595", "UA-2021-04-05-005739-c")</f>
        <v/>
      </c>
      <c r="C704" t="s" s="2">
        <v>3102</v>
      </c>
      <c r="D704" s="2">
        <f>HYPERLINK("https://my.zakupki.prom.ua/remote/dispatcher/state_contracting_view/8392080", "UA-2021-04-05-005739-c-c1")</f>
        <v/>
      </c>
      <c r="E704" t="s" s="1">
        <v>1292</v>
      </c>
      <c r="F704" t="s" s="1">
        <v>2637</v>
      </c>
      <c r="G704" t="s" s="1">
        <v>3424</v>
      </c>
      <c r="H704" t="s" s="1">
        <v>774</v>
      </c>
      <c r="I704" t="s" s="1">
        <v>2178</v>
      </c>
      <c r="J704" t="s" s="1">
        <v>3258</v>
      </c>
      <c r="K704" t="s" s="1">
        <v>776</v>
      </c>
      <c r="L704" t="s" s="1">
        <v>192</v>
      </c>
      <c r="M704" t="n" s="5">
        <v>34288.0</v>
      </c>
      <c r="N704" t="n" s="7">
        <v>44291.0</v>
      </c>
      <c r="O704" t="n" s="7">
        <v>44561.0</v>
      </c>
      <c r="P704" t="s" s="1">
        <v>3384</v>
      </c>
    </row>
    <row r="705" spans="1:16">
      <c r="A705" t="n" s="4">
        <v>701</v>
      </c>
      <c r="B705" s="2">
        <f>HYPERLINK("https://my.zakupki.prom.ua/remote/dispatcher/state_purchase_view/31290931", "UA-2021-11-01-007256-a")</f>
        <v/>
      </c>
      <c r="C705" t="s" s="2">
        <v>3102</v>
      </c>
      <c r="D705" s="2">
        <f>HYPERLINK("https://my.zakupki.prom.ua/remote/dispatcher/state_contracting_view/11703047", "UA-2021-11-01-007256-a-a1")</f>
        <v/>
      </c>
      <c r="E705" t="s" s="1">
        <v>1392</v>
      </c>
      <c r="F705" t="s" s="1">
        <v>2573</v>
      </c>
      <c r="G705" t="s" s="1">
        <v>5</v>
      </c>
      <c r="H705" t="s" s="1">
        <v>774</v>
      </c>
      <c r="I705" t="s" s="1">
        <v>2142</v>
      </c>
      <c r="J705" t="s" s="1">
        <v>3120</v>
      </c>
      <c r="K705" t="s" s="1">
        <v>658</v>
      </c>
      <c r="L705" t="s" s="1">
        <v>1099</v>
      </c>
      <c r="M705" t="n" s="5">
        <v>102100.75</v>
      </c>
      <c r="N705" t="n" s="7">
        <v>44536.0</v>
      </c>
      <c r="O705" t="n" s="7">
        <v>44561.0</v>
      </c>
      <c r="P705" t="s" s="1">
        <v>3384</v>
      </c>
    </row>
    <row r="706" spans="1:16">
      <c r="A706" t="n" s="4">
        <v>702</v>
      </c>
      <c r="B706" s="2">
        <f>HYPERLINK("https://my.zakupki.prom.ua/remote/dispatcher/state_purchase_view/25159944", "UA-2021-03-23-004358-a")</f>
        <v/>
      </c>
      <c r="C706" t="s" s="2">
        <v>3102</v>
      </c>
      <c r="D706" s="2">
        <f>HYPERLINK("https://my.zakupki.prom.ua/remote/dispatcher/state_contracting_view/8220481", "UA-2021-03-23-004358-a-a1")</f>
        <v/>
      </c>
      <c r="E706" t="s" s="1">
        <v>1587</v>
      </c>
      <c r="F706" t="s" s="1">
        <v>2340</v>
      </c>
      <c r="G706" t="s" s="1">
        <v>2340</v>
      </c>
      <c r="H706" t="s" s="1">
        <v>377</v>
      </c>
      <c r="I706" t="s" s="1">
        <v>2178</v>
      </c>
      <c r="J706" t="s" s="1">
        <v>2149</v>
      </c>
      <c r="K706" t="s" s="1">
        <v>653</v>
      </c>
      <c r="L706" t="s" s="1">
        <v>567</v>
      </c>
      <c r="M706" t="n" s="5">
        <v>4880.0</v>
      </c>
      <c r="N706" t="n" s="7">
        <v>44278.0</v>
      </c>
      <c r="O706" t="n" s="7">
        <v>44561.0</v>
      </c>
      <c r="P706" t="s" s="1">
        <v>3384</v>
      </c>
    </row>
    <row r="707" spans="1:16">
      <c r="A707" t="n" s="4">
        <v>703</v>
      </c>
      <c r="B707" s="2">
        <f>HYPERLINK("https://my.zakupki.prom.ua/remote/dispatcher/state_purchase_view/25061815", "UA-2021-03-19-001417-b")</f>
        <v/>
      </c>
      <c r="C707" t="s" s="2">
        <v>3102</v>
      </c>
      <c r="D707" s="2">
        <f>HYPERLINK("https://my.zakupki.prom.ua/remote/dispatcher/state_contracting_view/8166331", "UA-2021-03-19-001417-b-b1")</f>
        <v/>
      </c>
      <c r="E707" t="s" s="1">
        <v>1545</v>
      </c>
      <c r="F707" t="s" s="1">
        <v>2254</v>
      </c>
      <c r="G707" t="s" s="1">
        <v>2254</v>
      </c>
      <c r="H707" t="s" s="1">
        <v>249</v>
      </c>
      <c r="I707" t="s" s="1">
        <v>2178</v>
      </c>
      <c r="J707" t="s" s="1">
        <v>3356</v>
      </c>
      <c r="K707" t="s" s="1">
        <v>814</v>
      </c>
      <c r="L707" t="s" s="1">
        <v>511</v>
      </c>
      <c r="M707" t="n" s="5">
        <v>23970.0</v>
      </c>
      <c r="N707" t="n" s="7">
        <v>44274.0</v>
      </c>
      <c r="O707" t="n" s="7">
        <v>44561.0</v>
      </c>
      <c r="P707" t="s" s="1">
        <v>3384</v>
      </c>
    </row>
    <row r="708" spans="1:16">
      <c r="A708" t="n" s="4">
        <v>704</v>
      </c>
      <c r="B708" s="2">
        <f>HYPERLINK("https://my.zakupki.prom.ua/remote/dispatcher/state_purchase_view/24351605", "UA-2021-02-24-007594-b")</f>
        <v/>
      </c>
      <c r="C708" t="s" s="2">
        <v>3102</v>
      </c>
      <c r="D708" s="2">
        <f>HYPERLINK("https://my.zakupki.prom.ua/remote/dispatcher/state_contracting_view/7827456", "UA-2021-02-24-007594-b-b1")</f>
        <v/>
      </c>
      <c r="E708" t="s" s="1">
        <v>1143</v>
      </c>
      <c r="F708" t="s" s="1">
        <v>2488</v>
      </c>
      <c r="G708" t="s" s="1">
        <v>2488</v>
      </c>
      <c r="H708" t="s" s="1">
        <v>758</v>
      </c>
      <c r="I708" t="s" s="1">
        <v>2178</v>
      </c>
      <c r="J708" t="s" s="1">
        <v>3286</v>
      </c>
      <c r="K708" t="s" s="1">
        <v>820</v>
      </c>
      <c r="L708" t="s" s="1">
        <v>198</v>
      </c>
      <c r="M708" t="n" s="5">
        <v>5000.0</v>
      </c>
      <c r="N708" t="n" s="7">
        <v>44251.0</v>
      </c>
      <c r="O708" t="n" s="7">
        <v>44561.0</v>
      </c>
      <c r="P708" t="s" s="1">
        <v>3384</v>
      </c>
    </row>
    <row r="709" spans="1:16">
      <c r="A709" t="n" s="4">
        <v>705</v>
      </c>
      <c r="B709" s="2">
        <f>HYPERLINK("https://my.zakupki.prom.ua/remote/dispatcher/state_purchase_view/25208369", "UA-2021-03-24-006874-b")</f>
        <v/>
      </c>
      <c r="C709" t="s" s="2">
        <v>3102</v>
      </c>
      <c r="D709" s="2">
        <f>HYPERLINK("https://my.zakupki.prom.ua/remote/dispatcher/state_contracting_view/8248701", "UA-2021-03-24-006874-b-b1")</f>
        <v/>
      </c>
      <c r="E709" t="s" s="1">
        <v>109</v>
      </c>
      <c r="F709" t="s" s="1">
        <v>2536</v>
      </c>
      <c r="G709" t="s" s="1">
        <v>2536</v>
      </c>
      <c r="H709" t="s" s="1">
        <v>759</v>
      </c>
      <c r="I709" t="s" s="1">
        <v>2178</v>
      </c>
      <c r="J709" t="s" s="1">
        <v>3131</v>
      </c>
      <c r="K709" t="s" s="1">
        <v>658</v>
      </c>
      <c r="L709" t="s" s="1">
        <v>470</v>
      </c>
      <c r="M709" t="n" s="5">
        <v>1815.5</v>
      </c>
      <c r="N709" t="n" s="7">
        <v>44279.0</v>
      </c>
      <c r="O709" t="n" s="7">
        <v>44561.0</v>
      </c>
      <c r="P709" t="s" s="1">
        <v>3384</v>
      </c>
    </row>
    <row r="710" spans="1:16">
      <c r="A710" t="n" s="4">
        <v>706</v>
      </c>
      <c r="B710" s="2">
        <f>HYPERLINK("https://my.zakupki.prom.ua/remote/dispatcher/state_purchase_view/23042326", "UA-2021-01-19-000704-a")</f>
        <v/>
      </c>
      <c r="C710" t="s" s="2">
        <v>3102</v>
      </c>
      <c r="D710" s="2">
        <f>HYPERLINK("https://my.zakupki.prom.ua/remote/dispatcher/state_contracting_view/7251467", "UA-2021-01-19-000704-a-a1")</f>
        <v/>
      </c>
      <c r="E710" t="s" s="1">
        <v>2033</v>
      </c>
      <c r="F710" t="s" s="1">
        <v>2525</v>
      </c>
      <c r="G710" t="s" s="1">
        <v>3477</v>
      </c>
      <c r="H710" t="s" s="1">
        <v>759</v>
      </c>
      <c r="I710" t="s" s="1">
        <v>2178</v>
      </c>
      <c r="J710" t="s" s="1">
        <v>3258</v>
      </c>
      <c r="K710" t="s" s="1">
        <v>776</v>
      </c>
      <c r="L710" t="s" s="1">
        <v>126</v>
      </c>
      <c r="M710" t="n" s="5">
        <v>116600.0</v>
      </c>
      <c r="N710" t="n" s="7">
        <v>44214.0</v>
      </c>
      <c r="O710" t="n" s="7">
        <v>44561.0</v>
      </c>
      <c r="P710" t="s" s="1">
        <v>3384</v>
      </c>
    </row>
    <row r="711" spans="1:16">
      <c r="A711" t="n" s="4">
        <v>707</v>
      </c>
      <c r="B711" s="2">
        <f>HYPERLINK("https://my.zakupki.prom.ua/remote/dispatcher/state_purchase_view/24916319", "UA-2021-03-16-001146-b")</f>
        <v/>
      </c>
      <c r="C711" t="s" s="2">
        <v>3102</v>
      </c>
      <c r="D711" s="2">
        <f>HYPERLINK("https://my.zakupki.prom.ua/remote/dispatcher/state_contracting_view/8096894", "UA-2021-03-16-001146-b-b1")</f>
        <v/>
      </c>
      <c r="E711" t="s" s="1">
        <v>1865</v>
      </c>
      <c r="F711" t="s" s="1">
        <v>2348</v>
      </c>
      <c r="G711" t="s" s="1">
        <v>2348</v>
      </c>
      <c r="H711" t="s" s="1">
        <v>479</v>
      </c>
      <c r="I711" t="s" s="1">
        <v>2178</v>
      </c>
      <c r="J711" t="s" s="1">
        <v>3284</v>
      </c>
      <c r="K711" t="s" s="1">
        <v>771</v>
      </c>
      <c r="L711" t="s" s="1">
        <v>3164</v>
      </c>
      <c r="M711" t="n" s="5">
        <v>3612.0</v>
      </c>
      <c r="N711" t="n" s="7">
        <v>44270.0</v>
      </c>
      <c r="O711" t="n" s="7">
        <v>44561.0</v>
      </c>
      <c r="P711" t="s" s="1">
        <v>3384</v>
      </c>
    </row>
    <row r="712" spans="1:16">
      <c r="A712" t="n" s="4">
        <v>708</v>
      </c>
      <c r="B712" s="2">
        <f>HYPERLINK("https://my.zakupki.prom.ua/remote/dispatcher/state_purchase_view/24868362", "UA-2021-03-15-000850-b")</f>
        <v/>
      </c>
      <c r="C712" t="s" s="2">
        <v>3102</v>
      </c>
      <c r="D712" s="2">
        <f>HYPERLINK("https://my.zakupki.prom.ua/remote/dispatcher/state_contracting_view/8085146", "UA-2021-03-15-000850-b-b1")</f>
        <v/>
      </c>
      <c r="E712" t="s" s="1">
        <v>2089</v>
      </c>
      <c r="F712" t="s" s="1">
        <v>2797</v>
      </c>
      <c r="G712" t="s" s="1">
        <v>2797</v>
      </c>
      <c r="H712" t="s" s="1">
        <v>1008</v>
      </c>
      <c r="I712" t="s" s="1">
        <v>2178</v>
      </c>
      <c r="J712" t="s" s="1">
        <v>3112</v>
      </c>
      <c r="K712" t="s" s="1">
        <v>802</v>
      </c>
      <c r="L712" t="s" s="1">
        <v>115</v>
      </c>
      <c r="M712" t="n" s="5">
        <v>3275.3</v>
      </c>
      <c r="N712" t="n" s="7">
        <v>44270.0</v>
      </c>
      <c r="O712" t="n" s="7">
        <v>44561.0</v>
      </c>
      <c r="P712" t="s" s="1">
        <v>3384</v>
      </c>
    </row>
    <row r="713" spans="1:16">
      <c r="A713" t="n" s="4">
        <v>709</v>
      </c>
      <c r="B713" s="2">
        <f>HYPERLINK("https://my.zakupki.prom.ua/remote/dispatcher/state_purchase_view/31511474", "UA-2021-11-08-002299-b")</f>
        <v/>
      </c>
      <c r="C713" t="s" s="2">
        <v>3102</v>
      </c>
      <c r="D713" s="2">
        <f>HYPERLINK("https://my.zakupki.prom.ua/remote/dispatcher/state_contracting_view/11195515", "UA-2021-11-08-002299-b-b1")</f>
        <v/>
      </c>
      <c r="E713" t="s" s="1">
        <v>1381</v>
      </c>
      <c r="F713" t="s" s="1">
        <v>2364</v>
      </c>
      <c r="G713" t="s" s="1">
        <v>2364</v>
      </c>
      <c r="H713" t="s" s="1">
        <v>497</v>
      </c>
      <c r="I713" t="s" s="1">
        <v>2178</v>
      </c>
      <c r="J713" t="s" s="1">
        <v>3114</v>
      </c>
      <c r="K713" t="s" s="1">
        <v>597</v>
      </c>
      <c r="L713" t="s" s="1">
        <v>1533</v>
      </c>
      <c r="M713" t="n" s="5">
        <v>3424.0</v>
      </c>
      <c r="N713" t="n" s="7">
        <v>44508.0</v>
      </c>
      <c r="O713" t="n" s="7">
        <v>44561.0</v>
      </c>
      <c r="P713" t="s" s="1">
        <v>3384</v>
      </c>
    </row>
    <row r="714" spans="1:16">
      <c r="A714" t="n" s="4">
        <v>710</v>
      </c>
      <c r="B714" s="2">
        <f>HYPERLINK("https://my.zakupki.prom.ua/remote/dispatcher/state_purchase_view/30436247", "UA-2021-10-04-002541-b")</f>
        <v/>
      </c>
      <c r="C714" t="s" s="2">
        <v>3102</v>
      </c>
      <c r="D714" s="2">
        <f>HYPERLINK("https://my.zakupki.prom.ua/remote/dispatcher/state_contracting_view/10701428", "UA-2021-10-04-002541-b-b1")</f>
        <v/>
      </c>
      <c r="E714" t="s" s="1">
        <v>1664</v>
      </c>
      <c r="F714" t="s" s="1">
        <v>2492</v>
      </c>
      <c r="G714" t="s" s="1">
        <v>2492</v>
      </c>
      <c r="H714" t="s" s="1">
        <v>758</v>
      </c>
      <c r="I714" t="s" s="1">
        <v>2178</v>
      </c>
      <c r="J714" t="s" s="1">
        <v>3159</v>
      </c>
      <c r="K714" t="s" s="1">
        <v>799</v>
      </c>
      <c r="L714" t="s" s="1">
        <v>1498</v>
      </c>
      <c r="M714" t="n" s="5">
        <v>23600.0</v>
      </c>
      <c r="N714" t="n" s="7">
        <v>44470.0</v>
      </c>
      <c r="O714" t="n" s="7">
        <v>44561.0</v>
      </c>
      <c r="P714" t="s" s="1">
        <v>3384</v>
      </c>
    </row>
    <row r="715" spans="1:16">
      <c r="A715" t="n" s="4">
        <v>711</v>
      </c>
      <c r="B715" s="2">
        <f>HYPERLINK("https://my.zakupki.prom.ua/remote/dispatcher/state_purchase_view/32292038", "UA-2021-11-26-010793-a")</f>
        <v/>
      </c>
      <c r="C715" t="s" s="2">
        <v>3102</v>
      </c>
      <c r="D715" s="2">
        <f>HYPERLINK("https://my.zakupki.prom.ua/remote/dispatcher/state_contracting_view/12266214", "UA-2021-11-26-010793-a-c1")</f>
        <v/>
      </c>
      <c r="E715" t="s" s="1">
        <v>1112</v>
      </c>
      <c r="F715" t="s" s="1">
        <v>2231</v>
      </c>
      <c r="G715" t="s" s="1">
        <v>2135</v>
      </c>
      <c r="H715" t="s" s="1">
        <v>97</v>
      </c>
      <c r="I715" t="s" s="1">
        <v>2142</v>
      </c>
      <c r="J715" t="s" s="1">
        <v>3105</v>
      </c>
      <c r="K715" t="s" s="1">
        <v>916</v>
      </c>
      <c r="L715" t="s" s="1">
        <v>1121</v>
      </c>
      <c r="M715" t="n" s="5">
        <v>115284.0</v>
      </c>
      <c r="N715" t="n" s="7">
        <v>44558.0</v>
      </c>
      <c r="O715" t="n" s="7">
        <v>44561.0</v>
      </c>
      <c r="P715" t="s" s="1">
        <v>3384</v>
      </c>
    </row>
    <row r="716" spans="1:16">
      <c r="A716" t="n" s="4">
        <v>712</v>
      </c>
      <c r="B716" s="2">
        <f>HYPERLINK("https://my.zakupki.prom.ua/remote/dispatcher/state_purchase_view/31204525", "UA-2021-10-28-003477-a")</f>
        <v/>
      </c>
      <c r="C716" t="s" s="2">
        <v>3102</v>
      </c>
      <c r="D716" s="2">
        <f>HYPERLINK("https://my.zakupki.prom.ua/remote/dispatcher/state_contracting_view/11055302", "UA-2021-10-28-003477-a-a1")</f>
        <v/>
      </c>
      <c r="E716" t="s" s="1">
        <v>1137</v>
      </c>
      <c r="F716" t="s" s="1">
        <v>2355</v>
      </c>
      <c r="G716" t="s" s="1">
        <v>2355</v>
      </c>
      <c r="H716" t="s" s="1">
        <v>496</v>
      </c>
      <c r="I716" t="s" s="1">
        <v>2178</v>
      </c>
      <c r="J716" t="s" s="1">
        <v>2163</v>
      </c>
      <c r="K716" t="s" s="1">
        <v>724</v>
      </c>
      <c r="L716" t="s" s="1">
        <v>369</v>
      </c>
      <c r="M716" t="n" s="5">
        <v>738.0</v>
      </c>
      <c r="N716" t="n" s="7">
        <v>44496.0</v>
      </c>
      <c r="O716" t="n" s="7">
        <v>44561.0</v>
      </c>
      <c r="P716" t="s" s="1">
        <v>3384</v>
      </c>
    </row>
    <row r="717" spans="1:16">
      <c r="A717" t="n" s="4">
        <v>713</v>
      </c>
      <c r="B717" s="2">
        <f>HYPERLINK("https://my.zakupki.prom.ua/remote/dispatcher/state_purchase_view/33089248", "UA-2021-12-14-017525-c")</f>
        <v/>
      </c>
      <c r="C717" t="s" s="2">
        <v>3102</v>
      </c>
      <c r="D717" s="2">
        <f>HYPERLINK("https://my.zakupki.prom.ua/remote/dispatcher/state_contracting_view/12288766", "UA-2021-12-14-017525-c-c1")</f>
        <v/>
      </c>
      <c r="E717" t="s" s="1">
        <v>1095</v>
      </c>
      <c r="F717" t="s" s="1">
        <v>2220</v>
      </c>
      <c r="G717" t="s" s="1">
        <v>2221</v>
      </c>
      <c r="H717" t="s" s="1">
        <v>1198</v>
      </c>
      <c r="I717" t="s" s="1">
        <v>3171</v>
      </c>
      <c r="J717" t="s" s="1">
        <v>2121</v>
      </c>
      <c r="K717" t="s" s="1">
        <v>723</v>
      </c>
      <c r="L717" t="s" s="1">
        <v>1676</v>
      </c>
      <c r="M717" t="n" s="5">
        <v>281077.0</v>
      </c>
      <c r="N717" t="n" s="7">
        <v>44559.0</v>
      </c>
      <c r="O717" t="n" s="7">
        <v>44561.0</v>
      </c>
      <c r="P717" t="s" s="1">
        <v>3384</v>
      </c>
    </row>
    <row r="718" spans="1:16">
      <c r="A718" t="n" s="4">
        <v>714</v>
      </c>
      <c r="B718" s="2">
        <f>HYPERLINK("https://my.zakupki.prom.ua/remote/dispatcher/state_purchase_view/24026810", "UA-2021-02-15-009409-c")</f>
        <v/>
      </c>
      <c r="C718" t="s" s="2">
        <v>3102</v>
      </c>
      <c r="D718" s="2">
        <f>HYPERLINK("https://my.zakupki.prom.ua/remote/dispatcher/state_contracting_view/7674941", "UA-2021-02-15-009409-c-c1")</f>
        <v/>
      </c>
      <c r="E718" t="s" s="1">
        <v>185</v>
      </c>
      <c r="F718" t="s" s="1">
        <v>2416</v>
      </c>
      <c r="G718" t="s" s="1">
        <v>3487</v>
      </c>
      <c r="H718" t="s" s="1">
        <v>662</v>
      </c>
      <c r="I718" t="s" s="1">
        <v>2178</v>
      </c>
      <c r="J718" t="s" s="1">
        <v>3268</v>
      </c>
      <c r="K718" t="s" s="1">
        <v>984</v>
      </c>
      <c r="L718" t="s" s="1">
        <v>118</v>
      </c>
      <c r="M718" t="n" s="5">
        <v>22735.0</v>
      </c>
      <c r="N718" t="n" s="7">
        <v>44242.0</v>
      </c>
      <c r="O718" t="n" s="7">
        <v>44561.0</v>
      </c>
      <c r="P718" t="s" s="1">
        <v>3384</v>
      </c>
    </row>
    <row r="719" spans="1:16">
      <c r="A719" t="n" s="4">
        <v>715</v>
      </c>
      <c r="B719" s="2">
        <f>HYPERLINK("https://my.zakupki.prom.ua/remote/dispatcher/state_purchase_view/27745720", "UA-2021-06-24-006465-c")</f>
        <v/>
      </c>
      <c r="C719" t="s" s="2">
        <v>3102</v>
      </c>
      <c r="D719" s="2">
        <f>HYPERLINK("https://my.zakupki.prom.ua/remote/dispatcher/state_contracting_view/9445303", "UA-2021-06-24-006465-c-c1")</f>
        <v/>
      </c>
      <c r="E719" t="s" s="1">
        <v>1992</v>
      </c>
      <c r="F719" t="s" s="1">
        <v>2497</v>
      </c>
      <c r="G719" t="s" s="1">
        <v>2497</v>
      </c>
      <c r="H719" t="s" s="1">
        <v>759</v>
      </c>
      <c r="I719" t="s" s="1">
        <v>2178</v>
      </c>
      <c r="J719" t="s" s="1">
        <v>3277</v>
      </c>
      <c r="K719" t="s" s="1">
        <v>519</v>
      </c>
      <c r="L719" t="s" s="1">
        <v>1314</v>
      </c>
      <c r="M719" t="n" s="5">
        <v>692.29</v>
      </c>
      <c r="N719" t="n" s="7">
        <v>44369.0</v>
      </c>
      <c r="O719" t="n" s="7">
        <v>44561.0</v>
      </c>
      <c r="P719" t="s" s="1">
        <v>3384</v>
      </c>
    </row>
    <row r="720" spans="1:16">
      <c r="A720" t="n" s="4">
        <v>716</v>
      </c>
      <c r="B720" s="2">
        <f>HYPERLINK("https://my.zakupki.prom.ua/remote/dispatcher/state_purchase_view/28573497", "UA-2021-07-28-004499-b")</f>
        <v/>
      </c>
      <c r="C720" t="s" s="2">
        <v>3102</v>
      </c>
      <c r="D720" s="2">
        <f>HYPERLINK("https://my.zakupki.prom.ua/remote/dispatcher/state_contracting_view/9837466", "UA-2021-07-28-004499-b-b1")</f>
        <v/>
      </c>
      <c r="E720" t="s" s="1">
        <v>1170</v>
      </c>
      <c r="F720" t="s" s="1">
        <v>2490</v>
      </c>
      <c r="G720" t="s" s="1">
        <v>3498</v>
      </c>
      <c r="H720" t="s" s="1">
        <v>758</v>
      </c>
      <c r="I720" t="s" s="1">
        <v>2178</v>
      </c>
      <c r="J720" t="s" s="1">
        <v>3136</v>
      </c>
      <c r="K720" t="s" s="1">
        <v>658</v>
      </c>
      <c r="L720" t="s" s="1">
        <v>852</v>
      </c>
      <c r="M720" t="n" s="5">
        <v>1775.1</v>
      </c>
      <c r="N720" t="n" s="7">
        <v>44404.0</v>
      </c>
      <c r="O720" t="n" s="7">
        <v>44561.0</v>
      </c>
      <c r="P720" t="s" s="1">
        <v>3384</v>
      </c>
    </row>
    <row r="721" spans="1:16">
      <c r="A721" t="n" s="4">
        <v>717</v>
      </c>
      <c r="B721" s="2">
        <f>HYPERLINK("https://my.zakupki.prom.ua/remote/dispatcher/state_purchase_view/30152647", "UA-2021-09-23-003872-b")</f>
        <v/>
      </c>
      <c r="C721" t="s" s="2">
        <v>3102</v>
      </c>
      <c r="D721" s="2">
        <f>HYPERLINK("https://my.zakupki.prom.ua/remote/dispatcher/state_contracting_view/10570536", "UA-2021-09-23-003872-b-b1")</f>
        <v/>
      </c>
      <c r="E721" t="s" s="1">
        <v>1104</v>
      </c>
      <c r="F721" t="s" s="1">
        <v>2875</v>
      </c>
      <c r="G721" t="s" s="1">
        <v>2875</v>
      </c>
      <c r="H721" t="s" s="1">
        <v>1080</v>
      </c>
      <c r="I721" t="s" s="1">
        <v>2178</v>
      </c>
      <c r="J721" t="s" s="1">
        <v>3113</v>
      </c>
      <c r="K721" t="s" s="1">
        <v>816</v>
      </c>
      <c r="L721" t="s" s="1">
        <v>1428</v>
      </c>
      <c r="M721" t="n" s="5">
        <v>120.0</v>
      </c>
      <c r="N721" t="n" s="7">
        <v>44462.0</v>
      </c>
      <c r="O721" t="n" s="7">
        <v>44561.0</v>
      </c>
      <c r="P721" t="s" s="1">
        <v>3384</v>
      </c>
    </row>
    <row r="722" spans="1:16">
      <c r="A722" t="n" s="4">
        <v>718</v>
      </c>
      <c r="B722" s="2">
        <f>HYPERLINK("https://my.zakupki.prom.ua/remote/dispatcher/state_purchase_view/29986512", "UA-2021-09-17-010763-b")</f>
        <v/>
      </c>
      <c r="C722" t="s" s="2">
        <v>3102</v>
      </c>
      <c r="D722" s="2">
        <f>HYPERLINK("https://my.zakupki.prom.ua/remote/dispatcher/state_contracting_view/10493897", "UA-2021-09-17-010763-b-b1")</f>
        <v/>
      </c>
      <c r="E722" t="s" s="1">
        <v>1800</v>
      </c>
      <c r="F722" t="s" s="1">
        <v>2301</v>
      </c>
      <c r="G722" t="s" s="1">
        <v>2301</v>
      </c>
      <c r="H722" t="s" s="1">
        <v>276</v>
      </c>
      <c r="I722" t="s" s="1">
        <v>2178</v>
      </c>
      <c r="J722" t="s" s="1">
        <v>3356</v>
      </c>
      <c r="K722" t="s" s="1">
        <v>814</v>
      </c>
      <c r="L722" t="s" s="1">
        <v>1440</v>
      </c>
      <c r="M722" t="n" s="5">
        <v>5200.0</v>
      </c>
      <c r="N722" t="n" s="7">
        <v>44456.0</v>
      </c>
      <c r="O722" t="n" s="7">
        <v>44561.0</v>
      </c>
      <c r="P722" t="s" s="1">
        <v>3384</v>
      </c>
    </row>
    <row r="723" spans="1:16">
      <c r="A723" t="n" s="4">
        <v>719</v>
      </c>
      <c r="B723" s="2">
        <f>HYPERLINK("https://my.zakupki.prom.ua/remote/dispatcher/state_purchase_view/29922190", "UA-2021-09-16-005259-b")</f>
        <v/>
      </c>
      <c r="C723" t="s" s="2">
        <v>3102</v>
      </c>
      <c r="D723" s="2">
        <f>HYPERLINK("https://my.zakupki.prom.ua/remote/dispatcher/state_contracting_view/10476809", "UA-2021-09-16-005259-b-b1")</f>
        <v/>
      </c>
      <c r="E723" t="s" s="1">
        <v>1860</v>
      </c>
      <c r="F723" t="s" s="1">
        <v>2353</v>
      </c>
      <c r="G723" t="s" s="1">
        <v>2137</v>
      </c>
      <c r="H723" t="s" s="1">
        <v>496</v>
      </c>
      <c r="I723" t="s" s="1">
        <v>2178</v>
      </c>
      <c r="J723" t="s" s="1">
        <v>2163</v>
      </c>
      <c r="K723" t="s" s="1">
        <v>724</v>
      </c>
      <c r="L723" t="s" s="1">
        <v>341</v>
      </c>
      <c r="M723" t="n" s="5">
        <v>3000.0</v>
      </c>
      <c r="N723" t="n" s="7">
        <v>44453.0</v>
      </c>
      <c r="O723" t="n" s="7">
        <v>44561.0</v>
      </c>
      <c r="P723" t="s" s="1">
        <v>3384</v>
      </c>
    </row>
    <row r="724" spans="1:16">
      <c r="A724" t="n" s="4">
        <v>720</v>
      </c>
      <c r="B724" s="2">
        <f>HYPERLINK("https://my.zakupki.prom.ua/remote/dispatcher/state_purchase_view/30157041", "UA-2021-09-23-005185-b")</f>
        <v/>
      </c>
      <c r="C724" t="s" s="2">
        <v>3102</v>
      </c>
      <c r="D724" s="2">
        <f>HYPERLINK("https://my.zakupki.prom.ua/remote/dispatcher/state_contracting_view/10572778", "UA-2021-09-23-005185-b-b1")</f>
        <v/>
      </c>
      <c r="E724" t="s" s="1">
        <v>1100</v>
      </c>
      <c r="F724" t="s" s="1">
        <v>2496</v>
      </c>
      <c r="G724" t="s" s="1">
        <v>2138</v>
      </c>
      <c r="H724" t="s" s="1">
        <v>759</v>
      </c>
      <c r="I724" t="s" s="1">
        <v>2178</v>
      </c>
      <c r="J724" t="s" s="1">
        <v>3111</v>
      </c>
      <c r="K724" t="s" s="1">
        <v>513</v>
      </c>
      <c r="L724" t="s" s="1">
        <v>1467</v>
      </c>
      <c r="M724" t="n" s="5">
        <v>23010.0</v>
      </c>
      <c r="N724" t="n" s="7">
        <v>44461.0</v>
      </c>
      <c r="O724" t="n" s="7">
        <v>44561.0</v>
      </c>
      <c r="P724" t="s" s="1">
        <v>3384</v>
      </c>
    </row>
    <row r="725" spans="1:16">
      <c r="A725" t="n" s="4">
        <v>721</v>
      </c>
      <c r="B725" s="2">
        <f>HYPERLINK("https://my.zakupki.prom.ua/remote/dispatcher/state_purchase_view/27770030", "UA-2021-06-25-001363-c")</f>
        <v/>
      </c>
      <c r="C725" t="s" s="2">
        <v>3102</v>
      </c>
      <c r="D725" s="2">
        <f>HYPERLINK("https://my.zakupki.prom.ua/remote/dispatcher/state_contracting_view/9464250", "UA-2021-06-25-001363-c-c1")</f>
        <v/>
      </c>
      <c r="E725" t="s" s="1">
        <v>1693</v>
      </c>
      <c r="F725" t="s" s="1">
        <v>2821</v>
      </c>
      <c r="G725" t="s" s="1">
        <v>2821</v>
      </c>
      <c r="H725" t="s" s="1">
        <v>1061</v>
      </c>
      <c r="I725" t="s" s="1">
        <v>2178</v>
      </c>
      <c r="J725" t="s" s="1">
        <v>3112</v>
      </c>
      <c r="K725" t="s" s="1">
        <v>802</v>
      </c>
      <c r="L725" t="s" s="1">
        <v>22</v>
      </c>
      <c r="M725" t="n" s="5">
        <v>6503.3</v>
      </c>
      <c r="N725" t="n" s="7">
        <v>44372.0</v>
      </c>
      <c r="O725" t="n" s="7">
        <v>44561.0</v>
      </c>
      <c r="P725" t="s" s="1">
        <v>3384</v>
      </c>
    </row>
    <row r="726" spans="1:16">
      <c r="A726" t="n" s="4">
        <v>722</v>
      </c>
      <c r="B726" s="2">
        <f>HYPERLINK("https://my.zakupki.prom.ua/remote/dispatcher/state_purchase_view/27775322", "UA-2021-06-25-002956-c")</f>
        <v/>
      </c>
      <c r="C726" t="s" s="2">
        <v>3102</v>
      </c>
      <c r="D726" s="2">
        <f>HYPERLINK("https://my.zakupki.prom.ua/remote/dispatcher/state_contracting_view/9465639", "UA-2021-06-25-002956-c-c1")</f>
        <v/>
      </c>
      <c r="E726" t="s" s="1">
        <v>1324</v>
      </c>
      <c r="F726" t="s" s="1">
        <v>2418</v>
      </c>
      <c r="G726" t="s" s="1">
        <v>2418</v>
      </c>
      <c r="H726" t="s" s="1">
        <v>692</v>
      </c>
      <c r="I726" t="s" s="1">
        <v>2178</v>
      </c>
      <c r="J726" t="s" s="1">
        <v>3112</v>
      </c>
      <c r="K726" t="s" s="1">
        <v>802</v>
      </c>
      <c r="L726" t="s" s="1">
        <v>189</v>
      </c>
      <c r="M726" t="n" s="5">
        <v>480.0</v>
      </c>
      <c r="N726" t="n" s="7">
        <v>44372.0</v>
      </c>
      <c r="O726" t="n" s="7">
        <v>44561.0</v>
      </c>
      <c r="P726" t="s" s="1">
        <v>3384</v>
      </c>
    </row>
    <row r="727" spans="1:16">
      <c r="A727" t="n" s="4">
        <v>723</v>
      </c>
      <c r="B727" s="2">
        <f>HYPERLINK("https://my.zakupki.prom.ua/remote/dispatcher/state_purchase_view/33784945", "UA-2021-12-28-007375-c")</f>
        <v/>
      </c>
      <c r="C727" t="s" s="2">
        <v>3102</v>
      </c>
      <c r="D727" s="2">
        <f>HYPERLINK("https://my.zakupki.prom.ua/remote/dispatcher/state_contracting_view/12269884", "UA-2021-12-28-007375-c-c1")</f>
        <v/>
      </c>
      <c r="E727" t="s" s="1">
        <v>957</v>
      </c>
      <c r="F727" t="s" s="1">
        <v>2718</v>
      </c>
      <c r="G727" t="s" s="1">
        <v>3156</v>
      </c>
      <c r="H727" t="s" s="1">
        <v>785</v>
      </c>
      <c r="I727" t="s" s="1">
        <v>2178</v>
      </c>
      <c r="J727" t="s" s="1">
        <v>3356</v>
      </c>
      <c r="K727" t="s" s="1">
        <v>814</v>
      </c>
      <c r="L727" t="s" s="1">
        <v>1667</v>
      </c>
      <c r="M727" t="n" s="5">
        <v>13985.0</v>
      </c>
      <c r="N727" t="n" s="7">
        <v>44558.0</v>
      </c>
      <c r="O727" t="n" s="7">
        <v>44561.0</v>
      </c>
      <c r="P727" t="s" s="1">
        <v>3384</v>
      </c>
    </row>
    <row r="728" spans="1:16">
      <c r="A728" t="n" s="4">
        <v>724</v>
      </c>
      <c r="B728" s="2">
        <f>HYPERLINK("https://my.zakupki.prom.ua/remote/dispatcher/state_purchase_view/24784610", "UA-2021-03-11-004120-b")</f>
        <v/>
      </c>
      <c r="C728" t="s" s="2">
        <v>3102</v>
      </c>
      <c r="D728" s="2">
        <f>HYPERLINK("https://my.zakupki.prom.ua/remote/dispatcher/state_contracting_view/8044683", "UA-2021-03-11-004120-b-b1")</f>
        <v/>
      </c>
      <c r="E728" t="s" s="1">
        <v>1262</v>
      </c>
      <c r="F728" t="s" s="1">
        <v>2398</v>
      </c>
      <c r="G728" t="s" s="1">
        <v>3461</v>
      </c>
      <c r="H728" t="s" s="1">
        <v>549</v>
      </c>
      <c r="I728" t="s" s="1">
        <v>2178</v>
      </c>
      <c r="J728" t="s" s="1">
        <v>2132</v>
      </c>
      <c r="K728" t="s" s="1">
        <v>618</v>
      </c>
      <c r="L728" t="s" s="1">
        <v>316</v>
      </c>
      <c r="M728" t="n" s="5">
        <v>7700.0</v>
      </c>
      <c r="N728" t="n" s="7">
        <v>44266.0</v>
      </c>
      <c r="O728" t="n" s="7">
        <v>44561.0</v>
      </c>
      <c r="P728" t="s" s="1">
        <v>3384</v>
      </c>
    </row>
    <row r="729" spans="1:16">
      <c r="A729" t="n" s="4">
        <v>725</v>
      </c>
      <c r="B729" s="2">
        <f>HYPERLINK("https://my.zakupki.prom.ua/remote/dispatcher/state_purchase_view/26012511", "UA-2021-04-21-003316-c")</f>
        <v/>
      </c>
      <c r="C729" t="s" s="2">
        <v>3102</v>
      </c>
      <c r="D729" s="2">
        <f>HYPERLINK("https://my.zakupki.prom.ua/remote/dispatcher/state_contracting_view/8654564", "UA-2021-04-21-003316-c-c1")</f>
        <v/>
      </c>
      <c r="E729" t="s" s="1">
        <v>2085</v>
      </c>
      <c r="F729" t="s" s="1">
        <v>2485</v>
      </c>
      <c r="G729" t="s" s="1">
        <v>3446</v>
      </c>
      <c r="H729" t="s" s="1">
        <v>758</v>
      </c>
      <c r="I729" t="s" s="1">
        <v>2178</v>
      </c>
      <c r="J729" t="s" s="1">
        <v>3345</v>
      </c>
      <c r="K729" t="s" s="1">
        <v>684</v>
      </c>
      <c r="L729" t="s" s="1">
        <v>995</v>
      </c>
      <c r="M729" t="n" s="5">
        <v>31000.0</v>
      </c>
      <c r="N729" t="n" s="7">
        <v>44307.0</v>
      </c>
      <c r="O729" t="n" s="7">
        <v>44561.0</v>
      </c>
      <c r="P729" t="s" s="1">
        <v>3384</v>
      </c>
    </row>
    <row r="730" spans="1:16">
      <c r="A730" t="n" s="4">
        <v>726</v>
      </c>
      <c r="B730" s="2">
        <f>HYPERLINK("https://my.zakupki.prom.ua/remote/dispatcher/state_purchase_view/25473287", "UA-2021-04-02-000918-c")</f>
        <v/>
      </c>
      <c r="C730" t="s" s="2">
        <v>3102</v>
      </c>
      <c r="D730" s="2">
        <f>HYPERLINK("https://my.zakupki.prom.ua/remote/dispatcher/state_contracting_view/8378289", "UA-2021-04-02-000918-c-c1")</f>
        <v/>
      </c>
      <c r="E730" t="s" s="1">
        <v>2036</v>
      </c>
      <c r="F730" t="s" s="1">
        <v>2703</v>
      </c>
      <c r="G730" t="s" s="1">
        <v>3154</v>
      </c>
      <c r="H730" t="s" s="1">
        <v>777</v>
      </c>
      <c r="I730" t="s" s="1">
        <v>2178</v>
      </c>
      <c r="J730" t="s" s="1">
        <v>2125</v>
      </c>
      <c r="K730" t="s" s="1">
        <v>627</v>
      </c>
      <c r="L730" t="s" s="1">
        <v>709</v>
      </c>
      <c r="M730" t="n" s="5">
        <v>104920.0</v>
      </c>
      <c r="N730" t="n" s="7">
        <v>44288.0</v>
      </c>
      <c r="O730" t="n" s="7">
        <v>44561.0</v>
      </c>
      <c r="P730" t="s" s="1">
        <v>3384</v>
      </c>
    </row>
    <row r="731" spans="1:16">
      <c r="A731" t="n" s="4">
        <v>727</v>
      </c>
      <c r="B731" s="2">
        <f>HYPERLINK("https://my.zakupki.prom.ua/remote/dispatcher/state_purchase_view/26016483", "UA-2021-04-21-004461-c")</f>
        <v/>
      </c>
      <c r="C731" t="s" s="2">
        <v>3102</v>
      </c>
      <c r="D731" s="2">
        <f>HYPERLINK("https://my.zakupki.prom.ua/remote/dispatcher/state_contracting_view/8654595", "UA-2021-04-21-004461-c-c1")</f>
        <v/>
      </c>
      <c r="E731" t="s" s="1">
        <v>2009</v>
      </c>
      <c r="F731" t="s" s="1">
        <v>2708</v>
      </c>
      <c r="G731" t="s" s="1">
        <v>2708</v>
      </c>
      <c r="H731" t="s" s="1">
        <v>777</v>
      </c>
      <c r="I731" t="s" s="1">
        <v>2178</v>
      </c>
      <c r="J731" t="s" s="1">
        <v>3345</v>
      </c>
      <c r="K731" t="s" s="1">
        <v>684</v>
      </c>
      <c r="L731" t="s" s="1">
        <v>1000</v>
      </c>
      <c r="M731" t="n" s="5">
        <v>70800.0</v>
      </c>
      <c r="N731" t="n" s="7">
        <v>44307.0</v>
      </c>
      <c r="O731" t="n" s="7">
        <v>44561.0</v>
      </c>
      <c r="P731" t="s" s="1">
        <v>3384</v>
      </c>
    </row>
    <row r="732" spans="1:16">
      <c r="A732" t="n" s="4">
        <v>728</v>
      </c>
      <c r="B732" s="2">
        <f>HYPERLINK("https://my.zakupki.prom.ua/remote/dispatcher/state_purchase_view/31290055", "UA-2021-11-01-006930-a")</f>
        <v/>
      </c>
      <c r="C732" t="s" s="2">
        <v>3102</v>
      </c>
      <c r="D732" s="2">
        <f>HYPERLINK("https://my.zakupki.prom.ua/remote/dispatcher/state_contracting_view/11440686", "UA-2021-11-01-006930-a-a1")</f>
        <v/>
      </c>
      <c r="E732" t="s" s="1">
        <v>1801</v>
      </c>
      <c r="F732" t="s" s="1">
        <v>2940</v>
      </c>
      <c r="G732" t="s" s="1">
        <v>2940</v>
      </c>
      <c r="H732" t="s" s="1">
        <v>1359</v>
      </c>
      <c r="I732" t="s" s="1">
        <v>3142</v>
      </c>
      <c r="J732" t="s" s="1">
        <v>3122</v>
      </c>
      <c r="K732" t="s" s="1">
        <v>8</v>
      </c>
      <c r="L732" t="s" s="1">
        <v>1595</v>
      </c>
      <c r="M732" t="n" s="5">
        <v>61029.37</v>
      </c>
      <c r="N732" t="n" s="7">
        <v>44517.0</v>
      </c>
      <c r="O732" t="n" s="7">
        <v>44561.0</v>
      </c>
      <c r="P732" t="s" s="1">
        <v>3384</v>
      </c>
    </row>
    <row r="733" spans="1:16">
      <c r="A733" t="n" s="4">
        <v>729</v>
      </c>
      <c r="B733" s="2">
        <f>HYPERLINK("https://my.zakupki.prom.ua/remote/dispatcher/state_purchase_view/31323912", "UA-2021-11-02-004401-a")</f>
        <v/>
      </c>
      <c r="C733" t="s" s="2">
        <v>3102</v>
      </c>
      <c r="D733" s="2">
        <f>HYPERLINK("https://my.zakupki.prom.ua/remote/dispatcher/state_contracting_view/11109192", "UA-2021-11-02-004401-a-a1")</f>
        <v/>
      </c>
      <c r="E733" t="s" s="1">
        <v>1331</v>
      </c>
      <c r="F733" t="s" s="1">
        <v>2924</v>
      </c>
      <c r="G733" t="s" s="1">
        <v>2924</v>
      </c>
      <c r="H733" t="s" s="1">
        <v>1175</v>
      </c>
      <c r="I733" t="s" s="1">
        <v>2178</v>
      </c>
      <c r="J733" t="s" s="1">
        <v>3231</v>
      </c>
      <c r="K733" t="s" s="1">
        <v>879</v>
      </c>
      <c r="L733" t="s" s="1">
        <v>829</v>
      </c>
      <c r="M733" t="n" s="5">
        <v>6708.0</v>
      </c>
      <c r="N733" t="n" s="7">
        <v>44502.0</v>
      </c>
      <c r="O733" t="n" s="7">
        <v>44561.0</v>
      </c>
      <c r="P733" t="s" s="1">
        <v>3384</v>
      </c>
    </row>
    <row r="734" spans="1:16">
      <c r="A734" t="n" s="4">
        <v>730</v>
      </c>
      <c r="B734" s="2">
        <f>HYPERLINK("https://my.zakupki.prom.ua/remote/dispatcher/state_purchase_view/25775738", "UA-2021-04-13-004791-a")</f>
        <v/>
      </c>
      <c r="C734" t="s" s="2">
        <v>3102</v>
      </c>
      <c r="D734" s="2">
        <f>HYPERLINK("https://my.zakupki.prom.ua/remote/dispatcher/state_contracting_view/8507219", "UA-2021-04-13-004791-a-a1")</f>
        <v/>
      </c>
      <c r="E734" t="s" s="1">
        <v>593</v>
      </c>
      <c r="F734" t="s" s="1">
        <v>2748</v>
      </c>
      <c r="G734" t="s" s="1">
        <v>3456</v>
      </c>
      <c r="H734" t="s" s="1">
        <v>909</v>
      </c>
      <c r="I734" t="s" s="1">
        <v>2178</v>
      </c>
      <c r="J734" t="s" s="1">
        <v>2192</v>
      </c>
      <c r="K734" t="s" s="1">
        <v>679</v>
      </c>
      <c r="L734" t="s" s="1">
        <v>24</v>
      </c>
      <c r="M734" t="n" s="5">
        <v>3060.0</v>
      </c>
      <c r="N734" t="n" s="7">
        <v>44299.0</v>
      </c>
      <c r="O734" t="n" s="7">
        <v>44561.0</v>
      </c>
      <c r="P734" t="s" s="1">
        <v>3384</v>
      </c>
    </row>
    <row r="735" spans="1:16">
      <c r="A735" t="n" s="4">
        <v>731</v>
      </c>
      <c r="B735" s="2">
        <f>HYPERLINK("https://my.zakupki.prom.ua/remote/dispatcher/state_purchase_view/25697523", "UA-2021-04-09-002683-b")</f>
        <v/>
      </c>
      <c r="C735" t="s" s="2">
        <v>3102</v>
      </c>
      <c r="D735" s="2">
        <f>HYPERLINK("https://my.zakupki.prom.ua/remote/dispatcher/state_contracting_view/8469832", "UA-2021-04-09-002683-b-b1")</f>
        <v/>
      </c>
      <c r="E735" t="s" s="1">
        <v>2001</v>
      </c>
      <c r="F735" t="s" s="1">
        <v>2468</v>
      </c>
      <c r="G735" t="s" s="1">
        <v>3495</v>
      </c>
      <c r="H735" t="s" s="1">
        <v>727</v>
      </c>
      <c r="I735" t="s" s="1">
        <v>2178</v>
      </c>
      <c r="J735" t="s" s="1">
        <v>3268</v>
      </c>
      <c r="K735" t="s" s="1">
        <v>984</v>
      </c>
      <c r="L735" t="s" s="1">
        <v>1430</v>
      </c>
      <c r="M735" t="n" s="5">
        <v>6945.0</v>
      </c>
      <c r="N735" t="n" s="7">
        <v>44295.0</v>
      </c>
      <c r="O735" t="n" s="7">
        <v>44561.0</v>
      </c>
      <c r="P735" t="s" s="1">
        <v>3384</v>
      </c>
    </row>
    <row r="736" spans="1:16">
      <c r="A736" t="n" s="4">
        <v>732</v>
      </c>
      <c r="B736" s="2">
        <f>HYPERLINK("https://my.zakupki.prom.ua/remote/dispatcher/state_purchase_view/25636847", "UA-2021-04-08-002709-b")</f>
        <v/>
      </c>
      <c r="C736" t="s" s="2">
        <v>3102</v>
      </c>
      <c r="D736" s="2">
        <f>HYPERLINK("https://my.zakupki.prom.ua/remote/dispatcher/state_contracting_view/8443467", "UA-2021-04-08-002709-b-b1")</f>
        <v/>
      </c>
      <c r="E736" t="s" s="1">
        <v>1556</v>
      </c>
      <c r="F736" t="s" s="1">
        <v>2837</v>
      </c>
      <c r="G736" t="s" s="1">
        <v>2837</v>
      </c>
      <c r="H736" t="s" s="1">
        <v>1068</v>
      </c>
      <c r="I736" t="s" s="1">
        <v>2178</v>
      </c>
      <c r="J736" t="s" s="1">
        <v>3112</v>
      </c>
      <c r="K736" t="s" s="1">
        <v>802</v>
      </c>
      <c r="L736" t="s" s="1">
        <v>61</v>
      </c>
      <c r="M736" t="n" s="5">
        <v>339.0</v>
      </c>
      <c r="N736" t="n" s="7">
        <v>44294.0</v>
      </c>
      <c r="O736" t="n" s="7">
        <v>44561.0</v>
      </c>
      <c r="P736" t="s" s="1">
        <v>3384</v>
      </c>
    </row>
    <row r="737" spans="1:16">
      <c r="A737" t="n" s="4">
        <v>733</v>
      </c>
      <c r="B737" s="2">
        <f>HYPERLINK("https://my.zakupki.prom.ua/remote/dispatcher/state_purchase_view/25878289", "UA-2021-04-16-000291-a")</f>
        <v/>
      </c>
      <c r="C737" t="s" s="2">
        <v>3102</v>
      </c>
      <c r="D737" s="2">
        <f>HYPERLINK("https://my.zakupki.prom.ua/remote/dispatcher/state_contracting_view/8555151", "UA-2021-04-16-000291-a-a1")</f>
        <v/>
      </c>
      <c r="E737" t="s" s="1">
        <v>1856</v>
      </c>
      <c r="F737" t="s" s="1">
        <v>2509</v>
      </c>
      <c r="G737" t="s" s="1">
        <v>3429</v>
      </c>
      <c r="H737" t="s" s="1">
        <v>759</v>
      </c>
      <c r="I737" t="s" s="1">
        <v>2178</v>
      </c>
      <c r="J737" t="s" s="1">
        <v>3111</v>
      </c>
      <c r="K737" t="s" s="1">
        <v>513</v>
      </c>
      <c r="L737" t="s" s="1">
        <v>983</v>
      </c>
      <c r="M737" t="n" s="5">
        <v>81100.0</v>
      </c>
      <c r="N737" t="n" s="7">
        <v>44302.0</v>
      </c>
      <c r="O737" t="n" s="7">
        <v>44561.0</v>
      </c>
      <c r="P737" t="s" s="1">
        <v>3384</v>
      </c>
    </row>
    <row r="738" spans="1:16">
      <c r="A738" t="n" s="4">
        <v>734</v>
      </c>
      <c r="B738" s="2">
        <f>HYPERLINK("https://my.zakupki.prom.ua/remote/dispatcher/state_purchase_view/25676964", "UA-2021-04-09-001231-c")</f>
        <v/>
      </c>
      <c r="C738" t="s" s="2">
        <v>3102</v>
      </c>
      <c r="D738" s="2">
        <f>HYPERLINK("https://my.zakupki.prom.ua/remote/dispatcher/state_contracting_view/8459071", "UA-2021-04-09-001231-c-c1")</f>
        <v/>
      </c>
      <c r="E738" t="s" s="1">
        <v>1406</v>
      </c>
      <c r="F738" t="s" s="1">
        <v>3020</v>
      </c>
      <c r="G738" t="s" s="1">
        <v>3021</v>
      </c>
      <c r="H738" t="s" s="1">
        <v>1632</v>
      </c>
      <c r="I738" t="s" s="1">
        <v>2178</v>
      </c>
      <c r="J738" t="s" s="1">
        <v>3277</v>
      </c>
      <c r="K738" t="s" s="1">
        <v>519</v>
      </c>
      <c r="L738" t="s" s="1">
        <v>932</v>
      </c>
      <c r="M738" t="n" s="5">
        <v>200000.0</v>
      </c>
      <c r="N738" t="n" s="7">
        <v>44295.0</v>
      </c>
      <c r="O738" t="n" s="7">
        <v>44561.0</v>
      </c>
      <c r="P738" t="s" s="1">
        <v>3384</v>
      </c>
    </row>
    <row r="739" spans="1:16">
      <c r="A739" t="n" s="4">
        <v>735</v>
      </c>
      <c r="B739" s="2">
        <f>HYPERLINK("https://my.zakupki.prom.ua/remote/dispatcher/state_purchase_view/29696190", "UA-2021-09-09-005873-c")</f>
        <v/>
      </c>
      <c r="C739" t="s" s="2">
        <v>3102</v>
      </c>
      <c r="D739" s="2">
        <f>HYPERLINK("https://my.zakupki.prom.ua/remote/dispatcher/state_contracting_view/10359918", "UA-2021-09-09-005873-c-c1")</f>
        <v/>
      </c>
      <c r="E739" t="s" s="1">
        <v>1193</v>
      </c>
      <c r="F739" t="s" s="1">
        <v>2918</v>
      </c>
      <c r="G739" t="s" s="1">
        <v>2918</v>
      </c>
      <c r="H739" t="s" s="1">
        <v>1173</v>
      </c>
      <c r="I739" t="s" s="1">
        <v>2178</v>
      </c>
      <c r="J739" t="s" s="1">
        <v>3089</v>
      </c>
      <c r="K739" t="s" s="1">
        <v>654</v>
      </c>
      <c r="L739" t="s" s="1">
        <v>1435</v>
      </c>
      <c r="M739" t="n" s="5">
        <v>720.0</v>
      </c>
      <c r="N739" t="n" s="7">
        <v>44448.0</v>
      </c>
      <c r="O739" t="n" s="7">
        <v>44561.0</v>
      </c>
      <c r="P739" t="s" s="1">
        <v>3384</v>
      </c>
    </row>
    <row r="740" spans="1:16">
      <c r="A740" t="n" s="4">
        <v>736</v>
      </c>
      <c r="B740" s="2">
        <f>HYPERLINK("https://my.zakupki.prom.ua/remote/dispatcher/state_purchase_view/22936288", "UA-2021-01-13-002826-a")</f>
        <v/>
      </c>
      <c r="C740" t="s" s="2">
        <v>3102</v>
      </c>
      <c r="D740" s="2">
        <f>HYPERLINK("https://my.zakupki.prom.ua/remote/dispatcher/state_contracting_view/7215317", "UA-2021-01-13-002826-a-a1")</f>
        <v/>
      </c>
      <c r="E740" t="s" s="1">
        <v>1970</v>
      </c>
      <c r="F740" t="s" s="1">
        <v>2829</v>
      </c>
      <c r="G740" t="s" s="1">
        <v>2829</v>
      </c>
      <c r="H740" t="s" s="1">
        <v>1062</v>
      </c>
      <c r="I740" t="s" s="1">
        <v>2178</v>
      </c>
      <c r="J740" t="s" s="1">
        <v>3112</v>
      </c>
      <c r="K740" t="s" s="1">
        <v>802</v>
      </c>
      <c r="L740" t="s" s="1">
        <v>523</v>
      </c>
      <c r="M740" t="n" s="5">
        <v>2280.47</v>
      </c>
      <c r="N740" t="n" s="7">
        <v>44209.0</v>
      </c>
      <c r="O740" t="n" s="7">
        <v>44561.0</v>
      </c>
      <c r="P740" t="s" s="1">
        <v>3384</v>
      </c>
    </row>
    <row r="741" spans="1:16">
      <c r="A741" t="n" s="4">
        <v>737</v>
      </c>
      <c r="B741" s="2">
        <f>HYPERLINK("https://my.zakupki.prom.ua/remote/dispatcher/state_purchase_view/23042662", "UA-2021-01-19-000770-a")</f>
        <v/>
      </c>
      <c r="C741" t="s" s="2">
        <v>3102</v>
      </c>
      <c r="D741" s="2">
        <f>HYPERLINK("https://my.zakupki.prom.ua/remote/dispatcher/state_contracting_view/7251390", "UA-2021-01-19-000770-a-a1")</f>
        <v/>
      </c>
      <c r="E741" t="s" s="1">
        <v>504</v>
      </c>
      <c r="F741" t="s" s="1">
        <v>2378</v>
      </c>
      <c r="G741" t="s" s="1">
        <v>2378</v>
      </c>
      <c r="H741" t="s" s="1">
        <v>536</v>
      </c>
      <c r="I741" t="s" s="1">
        <v>2178</v>
      </c>
      <c r="J741" t="s" s="1">
        <v>3258</v>
      </c>
      <c r="K741" t="s" s="1">
        <v>776</v>
      </c>
      <c r="L741" t="s" s="1">
        <v>166</v>
      </c>
      <c r="M741" t="n" s="5">
        <v>1300.0</v>
      </c>
      <c r="N741" t="n" s="7">
        <v>44214.0</v>
      </c>
      <c r="O741" t="n" s="7">
        <v>44561.0</v>
      </c>
      <c r="P741" t="s" s="1">
        <v>3384</v>
      </c>
    </row>
    <row r="742" spans="1:16">
      <c r="A742" t="n" s="4">
        <v>738</v>
      </c>
      <c r="B742" s="2">
        <f>HYPERLINK("https://my.zakupki.prom.ua/remote/dispatcher/state_purchase_view/26261699", "UA-2021-04-29-001708-a")</f>
        <v/>
      </c>
      <c r="C742" t="s" s="2">
        <v>3102</v>
      </c>
      <c r="D742" s="2">
        <f>HYPERLINK("https://my.zakupki.prom.ua/remote/dispatcher/state_contracting_view/8740194", "UA-2021-04-29-001708-a-a1")</f>
        <v/>
      </c>
      <c r="E742" t="s" s="1">
        <v>1858</v>
      </c>
      <c r="F742" t="s" s="1">
        <v>2438</v>
      </c>
      <c r="G742" t="s" s="1">
        <v>2438</v>
      </c>
      <c r="H742" t="s" s="1">
        <v>703</v>
      </c>
      <c r="I742" t="s" s="1">
        <v>2178</v>
      </c>
      <c r="J742" t="s" s="1">
        <v>3112</v>
      </c>
      <c r="K742" t="s" s="1">
        <v>802</v>
      </c>
      <c r="L742" t="s" s="1">
        <v>789</v>
      </c>
      <c r="M742" t="n" s="5">
        <v>120.0</v>
      </c>
      <c r="N742" t="n" s="7">
        <v>44315.0</v>
      </c>
      <c r="O742" t="n" s="7">
        <v>44561.0</v>
      </c>
      <c r="P742" t="s" s="1">
        <v>3384</v>
      </c>
    </row>
    <row r="743" spans="1:16">
      <c r="A743" t="n" s="4">
        <v>739</v>
      </c>
      <c r="B743" s="2">
        <f>HYPERLINK("https://my.zakupki.prom.ua/remote/dispatcher/state_purchase_view/26233950", "UA-2021-04-28-004625-a")</f>
        <v/>
      </c>
      <c r="C743" t="s" s="2">
        <v>3102</v>
      </c>
      <c r="D743" s="2">
        <f>HYPERLINK("https://my.zakupki.prom.ua/remote/dispatcher/state_contracting_view/8734145", "UA-2021-04-28-004625-a-a1")</f>
        <v/>
      </c>
      <c r="E743" t="s" s="1">
        <v>951</v>
      </c>
      <c r="F743" t="s" s="1">
        <v>2422</v>
      </c>
      <c r="G743" t="s" s="1">
        <v>2422</v>
      </c>
      <c r="H743" t="s" s="1">
        <v>693</v>
      </c>
      <c r="I743" t="s" s="1">
        <v>2178</v>
      </c>
      <c r="J743" t="s" s="1">
        <v>3309</v>
      </c>
      <c r="K743" t="s" s="1">
        <v>611</v>
      </c>
      <c r="L743" t="s" s="1">
        <v>3188</v>
      </c>
      <c r="M743" t="n" s="5">
        <v>386.65</v>
      </c>
      <c r="N743" t="n" s="7">
        <v>44314.0</v>
      </c>
      <c r="O743" t="n" s="7">
        <v>44561.0</v>
      </c>
      <c r="P743" t="s" s="1">
        <v>3384</v>
      </c>
    </row>
    <row r="744" spans="1:16">
      <c r="A744" t="n" s="4">
        <v>740</v>
      </c>
      <c r="B744" s="2">
        <f>HYPERLINK("https://my.zakupki.prom.ua/remote/dispatcher/state_purchase_view/26184434", "UA-2021-04-27-004406-a")</f>
        <v/>
      </c>
      <c r="C744" t="s" s="2">
        <v>3102</v>
      </c>
      <c r="D744" s="2">
        <f>HYPERLINK("https://my.zakupki.prom.ua/remote/dispatcher/state_contracting_view/8703464", "UA-2021-04-27-004406-a-a1")</f>
        <v/>
      </c>
      <c r="E744" t="s" s="1">
        <v>1375</v>
      </c>
      <c r="F744" t="s" s="1">
        <v>2565</v>
      </c>
      <c r="G744" t="s" s="1">
        <v>3525</v>
      </c>
      <c r="H744" t="s" s="1">
        <v>763</v>
      </c>
      <c r="I744" t="s" s="1">
        <v>2178</v>
      </c>
      <c r="J744" t="s" s="1">
        <v>3159</v>
      </c>
      <c r="K744" t="s" s="1">
        <v>799</v>
      </c>
      <c r="L744" t="s" s="1">
        <v>1079</v>
      </c>
      <c r="M744" t="n" s="5">
        <v>16400.0</v>
      </c>
      <c r="N744" t="n" s="7">
        <v>44313.0</v>
      </c>
      <c r="O744" t="n" s="7">
        <v>44561.0</v>
      </c>
      <c r="P744" t="s" s="1">
        <v>3384</v>
      </c>
    </row>
    <row r="745" spans="1:16">
      <c r="A745" t="n" s="4">
        <v>741</v>
      </c>
      <c r="B745" s="2">
        <f>HYPERLINK("https://my.zakupki.prom.ua/remote/dispatcher/state_purchase_view/25523718", "UA-2021-04-05-003662-a")</f>
        <v/>
      </c>
      <c r="C745" t="s" s="2">
        <v>3102</v>
      </c>
      <c r="D745" s="2">
        <f>HYPERLINK("https://my.zakupki.prom.ua/remote/dispatcher/state_contracting_view/8386412", "UA-2021-04-05-003662-a-a1")</f>
        <v/>
      </c>
      <c r="E745" t="s" s="1">
        <v>1418</v>
      </c>
      <c r="F745" t="s" s="1">
        <v>2890</v>
      </c>
      <c r="G745" t="s" s="1">
        <v>3374</v>
      </c>
      <c r="H745" t="s" s="1">
        <v>1084</v>
      </c>
      <c r="I745" t="s" s="1">
        <v>2178</v>
      </c>
      <c r="J745" t="s" s="1">
        <v>2141</v>
      </c>
      <c r="K745" t="s" s="1">
        <v>438</v>
      </c>
      <c r="L745" t="s" s="1">
        <v>768</v>
      </c>
      <c r="M745" t="n" s="5">
        <v>4768.0</v>
      </c>
      <c r="N745" t="n" s="7">
        <v>44291.0</v>
      </c>
      <c r="O745" t="n" s="7">
        <v>44561.0</v>
      </c>
      <c r="P745" t="s" s="1">
        <v>3384</v>
      </c>
    </row>
    <row r="746" spans="1:16">
      <c r="A746" t="n" s="4">
        <v>742</v>
      </c>
      <c r="B746" s="2">
        <f>HYPERLINK("https://my.zakupki.prom.ua/remote/dispatcher/state_purchase_view/25520884", "UA-2021-04-05-002897-a")</f>
        <v/>
      </c>
      <c r="C746" t="s" s="2">
        <v>3102</v>
      </c>
      <c r="D746" s="2">
        <f>HYPERLINK("https://my.zakupki.prom.ua/remote/dispatcher/state_contracting_view/8385468", "UA-2021-04-05-002897-a-a1")</f>
        <v/>
      </c>
      <c r="E746" t="s" s="1">
        <v>1301</v>
      </c>
      <c r="F746" t="s" s="1">
        <v>2411</v>
      </c>
      <c r="G746" t="s" s="1">
        <v>2411</v>
      </c>
      <c r="H746" t="s" s="1">
        <v>659</v>
      </c>
      <c r="I746" t="s" s="1">
        <v>2178</v>
      </c>
      <c r="J746" t="s" s="1">
        <v>3294</v>
      </c>
      <c r="K746" t="s" s="1">
        <v>879</v>
      </c>
      <c r="L746" t="s" s="1">
        <v>300</v>
      </c>
      <c r="M746" t="n" s="5">
        <v>1128.0</v>
      </c>
      <c r="N746" t="n" s="7">
        <v>44291.0</v>
      </c>
      <c r="O746" t="n" s="7">
        <v>44561.0</v>
      </c>
      <c r="P746" t="s" s="1">
        <v>3384</v>
      </c>
    </row>
    <row r="747" spans="1:16">
      <c r="A747" t="n" s="4">
        <v>743</v>
      </c>
      <c r="B747" s="2">
        <f>HYPERLINK("https://my.zakupki.prom.ua/remote/dispatcher/state_purchase_view/25633887", "UA-2021-04-08-001871-b")</f>
        <v/>
      </c>
      <c r="C747" t="s" s="2">
        <v>3102</v>
      </c>
      <c r="D747" s="2">
        <f>HYPERLINK("https://my.zakupki.prom.ua/remote/dispatcher/state_contracting_view/8443282", "UA-2021-04-08-001871-b-b1")</f>
        <v/>
      </c>
      <c r="E747" t="s" s="1">
        <v>1914</v>
      </c>
      <c r="F747" t="s" s="1">
        <v>2334</v>
      </c>
      <c r="G747" t="s" s="1">
        <v>2334</v>
      </c>
      <c r="H747" t="s" s="1">
        <v>375</v>
      </c>
      <c r="I747" t="s" s="1">
        <v>2178</v>
      </c>
      <c r="J747" t="s" s="1">
        <v>3112</v>
      </c>
      <c r="K747" t="s" s="1">
        <v>802</v>
      </c>
      <c r="L747" t="s" s="1">
        <v>211</v>
      </c>
      <c r="M747" t="n" s="5">
        <v>70.2</v>
      </c>
      <c r="N747" t="n" s="7">
        <v>44294.0</v>
      </c>
      <c r="O747" t="n" s="7">
        <v>44561.0</v>
      </c>
      <c r="P747" t="s" s="1">
        <v>3384</v>
      </c>
    </row>
    <row r="748" spans="1:16">
      <c r="A748" t="n" s="4">
        <v>744</v>
      </c>
      <c r="B748" s="2">
        <f>HYPERLINK("https://my.zakupki.prom.ua/remote/dispatcher/state_purchase_view/25579025", "UA-2021-04-06-006689-a")</f>
        <v/>
      </c>
      <c r="C748" t="s" s="2">
        <v>3102</v>
      </c>
      <c r="D748" s="2">
        <f>HYPERLINK("https://my.zakupki.prom.ua/remote/dispatcher/state_contracting_view/8792160", "UA-2021-04-06-006689-a-a1")</f>
        <v/>
      </c>
      <c r="E748" t="s" s="1">
        <v>201</v>
      </c>
      <c r="F748" t="s" s="1">
        <v>2255</v>
      </c>
      <c r="G748" t="s" s="1">
        <v>2255</v>
      </c>
      <c r="H748" t="s" s="1">
        <v>249</v>
      </c>
      <c r="I748" t="s" s="1">
        <v>2142</v>
      </c>
      <c r="J748" t="s" s="1">
        <v>3127</v>
      </c>
      <c r="K748" t="s" s="1">
        <v>1036</v>
      </c>
      <c r="L748" t="s" s="1">
        <v>1134</v>
      </c>
      <c r="M748" t="n" s="5">
        <v>160075.0</v>
      </c>
      <c r="N748" t="n" s="7">
        <v>44323.0</v>
      </c>
      <c r="O748" t="n" s="7">
        <v>44561.0</v>
      </c>
      <c r="P748" t="s" s="1">
        <v>3384</v>
      </c>
    </row>
    <row r="749" spans="1:16">
      <c r="A749" t="n" s="4">
        <v>745</v>
      </c>
      <c r="B749" s="2">
        <f>HYPERLINK("https://my.zakupki.prom.ua/remote/dispatcher/state_purchase_view/26049011", "UA-2021-04-22-001181-a")</f>
        <v/>
      </c>
      <c r="C749" t="s" s="2">
        <v>3102</v>
      </c>
      <c r="D749" s="2">
        <f>HYPERLINK("https://my.zakupki.prom.ua/remote/dispatcher/state_contracting_view/8649039", "UA-2021-04-22-001181-a-a1")</f>
        <v/>
      </c>
      <c r="E749" t="s" s="1">
        <v>1551</v>
      </c>
      <c r="F749" t="s" s="1">
        <v>2253</v>
      </c>
      <c r="G749" t="s" s="1">
        <v>2253</v>
      </c>
      <c r="H749" t="s" s="1">
        <v>248</v>
      </c>
      <c r="I749" t="s" s="1">
        <v>2178</v>
      </c>
      <c r="J749" t="s" s="1">
        <v>3356</v>
      </c>
      <c r="K749" t="s" s="1">
        <v>814</v>
      </c>
      <c r="L749" t="s" s="1">
        <v>1018</v>
      </c>
      <c r="M749" t="n" s="5">
        <v>24000.0</v>
      </c>
      <c r="N749" t="n" s="7">
        <v>44306.0</v>
      </c>
      <c r="O749" t="n" s="7">
        <v>44561.0</v>
      </c>
      <c r="P749" t="s" s="1">
        <v>3384</v>
      </c>
    </row>
    <row r="750" spans="1:16">
      <c r="A750" t="n" s="4">
        <v>746</v>
      </c>
      <c r="B750" s="2">
        <f>HYPERLINK("https://my.zakupki.prom.ua/remote/dispatcher/state_purchase_view/26046048", "UA-2021-04-22-000783-c")</f>
        <v/>
      </c>
      <c r="C750" t="s" s="2">
        <v>3102</v>
      </c>
      <c r="D750" s="2">
        <f>HYPERLINK("https://my.zakupki.prom.ua/remote/dispatcher/state_contracting_view/8635589", "UA-2021-04-22-000783-c-c1")</f>
        <v/>
      </c>
      <c r="E750" t="s" s="1">
        <v>1689</v>
      </c>
      <c r="F750" t="s" s="1">
        <v>2228</v>
      </c>
      <c r="G750" t="s" s="1">
        <v>3441</v>
      </c>
      <c r="H750" t="s" s="1">
        <v>51</v>
      </c>
      <c r="I750" t="s" s="1">
        <v>2178</v>
      </c>
      <c r="J750" t="s" s="1">
        <v>3356</v>
      </c>
      <c r="K750" t="s" s="1">
        <v>814</v>
      </c>
      <c r="L750" t="s" s="1">
        <v>1006</v>
      </c>
      <c r="M750" t="n" s="5">
        <v>21440.0</v>
      </c>
      <c r="N750" t="n" s="7">
        <v>44306.0</v>
      </c>
      <c r="O750" t="n" s="7">
        <v>44561.0</v>
      </c>
      <c r="P750" t="s" s="1">
        <v>3384</v>
      </c>
    </row>
    <row r="751" spans="1:16">
      <c r="A751" t="n" s="4">
        <v>747</v>
      </c>
      <c r="B751" s="2">
        <f>HYPERLINK("https://my.zakupki.prom.ua/remote/dispatcher/state_purchase_view/26710623", "UA-2021-05-20-001668-b")</f>
        <v/>
      </c>
      <c r="C751" t="s" s="2">
        <v>3102</v>
      </c>
      <c r="D751" s="2">
        <f>HYPERLINK("https://my.zakupki.prom.ua/remote/dispatcher/state_contracting_view/8953876", "UA-2021-05-20-001668-b-b1")</f>
        <v/>
      </c>
      <c r="E751" t="s" s="1">
        <v>1650</v>
      </c>
      <c r="F751" t="s" s="1">
        <v>2501</v>
      </c>
      <c r="G751" t="s" s="1">
        <v>2501</v>
      </c>
      <c r="H751" t="s" s="1">
        <v>759</v>
      </c>
      <c r="I751" t="s" s="1">
        <v>2178</v>
      </c>
      <c r="J751" t="s" s="1">
        <v>3286</v>
      </c>
      <c r="K751" t="s" s="1">
        <v>820</v>
      </c>
      <c r="L751" t="s" s="1">
        <v>1237</v>
      </c>
      <c r="M751" t="n" s="5">
        <v>3050.0</v>
      </c>
      <c r="N751" t="n" s="7">
        <v>44336.0</v>
      </c>
      <c r="O751" t="n" s="7">
        <v>44561.0</v>
      </c>
      <c r="P751" t="s" s="1">
        <v>3384</v>
      </c>
    </row>
    <row r="752" spans="1:16">
      <c r="A752" t="n" s="4">
        <v>748</v>
      </c>
      <c r="B752" s="2">
        <f>HYPERLINK("https://my.zakupki.prom.ua/remote/dispatcher/state_purchase_view/26613957", "UA-2021-05-18-000665-b")</f>
        <v/>
      </c>
      <c r="C752" t="s" s="2">
        <v>3102</v>
      </c>
      <c r="D752" s="2">
        <f>HYPERLINK("https://my.zakupki.prom.ua/remote/dispatcher/state_contracting_view/8908195", "UA-2021-05-18-000665-b-b1")</f>
        <v/>
      </c>
      <c r="E752" t="s" s="1">
        <v>1829</v>
      </c>
      <c r="F752" t="s" s="1">
        <v>3028</v>
      </c>
      <c r="G752" t="s" s="1">
        <v>3028</v>
      </c>
      <c r="H752" t="s" s="1">
        <v>1713</v>
      </c>
      <c r="I752" t="s" s="1">
        <v>2178</v>
      </c>
      <c r="J752" t="s" s="1">
        <v>3274</v>
      </c>
      <c r="K752" t="s" s="1">
        <v>870</v>
      </c>
      <c r="L752" t="s" s="1">
        <v>1044</v>
      </c>
      <c r="M752" t="n" s="5">
        <v>102000.0</v>
      </c>
      <c r="N752" t="n" s="7">
        <v>44333.0</v>
      </c>
      <c r="O752" t="n" s="7">
        <v>44561.0</v>
      </c>
      <c r="P752" t="s" s="1">
        <v>3384</v>
      </c>
    </row>
    <row r="753" spans="1:16">
      <c r="A753" t="n" s="4">
        <v>749</v>
      </c>
      <c r="B753" s="2">
        <f>HYPERLINK("https://my.zakupki.prom.ua/remote/dispatcher/state_purchase_view/25259454", "UA-2021-03-26-002792-a")</f>
        <v/>
      </c>
      <c r="C753" t="s" s="2">
        <v>3102</v>
      </c>
      <c r="D753" s="2">
        <f>HYPERLINK("https://my.zakupki.prom.ua/remote/dispatcher/state_contracting_view/8280346", "UA-2021-03-26-002792-a-a1")</f>
        <v/>
      </c>
      <c r="E753" t="s" s="1">
        <v>1980</v>
      </c>
      <c r="F753" t="s" s="1">
        <v>2397</v>
      </c>
      <c r="G753" t="s" s="1">
        <v>3481</v>
      </c>
      <c r="H753" t="s" s="1">
        <v>548</v>
      </c>
      <c r="I753" t="s" s="1">
        <v>2178</v>
      </c>
      <c r="J753" t="s" s="1">
        <v>3112</v>
      </c>
      <c r="K753" t="s" s="1">
        <v>802</v>
      </c>
      <c r="L753" t="s" s="1">
        <v>187</v>
      </c>
      <c r="M753" t="n" s="5">
        <v>568.0</v>
      </c>
      <c r="N753" t="n" s="7">
        <v>44281.0</v>
      </c>
      <c r="O753" t="n" s="7">
        <v>44561.0</v>
      </c>
      <c r="P753" t="s" s="1">
        <v>3384</v>
      </c>
    </row>
    <row r="754" spans="1:16">
      <c r="A754" t="n" s="4">
        <v>750</v>
      </c>
      <c r="B754" s="2">
        <f>HYPERLINK("https://my.zakupki.prom.ua/remote/dispatcher/state_purchase_view/24914719", "UA-2021-03-16-000690-b")</f>
        <v/>
      </c>
      <c r="C754" t="s" s="2">
        <v>3102</v>
      </c>
      <c r="D754" s="2">
        <f>HYPERLINK("https://my.zakupki.prom.ua/remote/dispatcher/state_contracting_view/8096399", "UA-2021-03-16-000690-b-b1")</f>
        <v/>
      </c>
      <c r="E754" t="s" s="1">
        <v>538</v>
      </c>
      <c r="F754" t="s" s="1">
        <v>2675</v>
      </c>
      <c r="G754" t="s" s="1">
        <v>3508</v>
      </c>
      <c r="H754" t="s" s="1">
        <v>774</v>
      </c>
      <c r="I754" t="s" s="1">
        <v>2178</v>
      </c>
      <c r="J754" t="s" s="1">
        <v>3277</v>
      </c>
      <c r="K754" t="s" s="1">
        <v>519</v>
      </c>
      <c r="L754" t="s" s="1">
        <v>437</v>
      </c>
      <c r="M754" t="n" s="5">
        <v>25642.42</v>
      </c>
      <c r="N754" t="n" s="7">
        <v>44270.0</v>
      </c>
      <c r="O754" t="n" s="7">
        <v>44561.0</v>
      </c>
      <c r="P754" t="s" s="1">
        <v>3384</v>
      </c>
    </row>
    <row r="755" spans="1:16">
      <c r="A755" t="n" s="4">
        <v>751</v>
      </c>
      <c r="B755" s="2">
        <f>HYPERLINK("https://my.zakupki.prom.ua/remote/dispatcher/state_purchase_view/24771241", "UA-2021-03-11-000242-b")</f>
        <v/>
      </c>
      <c r="C755" t="s" s="2">
        <v>3102</v>
      </c>
      <c r="D755" s="2">
        <f>HYPERLINK("https://my.zakupki.prom.ua/remote/dispatcher/state_contracting_view/8026995", "UA-2021-03-11-000242-b-b1")</f>
        <v/>
      </c>
      <c r="E755" t="s" s="1">
        <v>1816</v>
      </c>
      <c r="F755" t="s" s="1">
        <v>2643</v>
      </c>
      <c r="G755" t="s" s="1">
        <v>2643</v>
      </c>
      <c r="H755" t="s" s="1">
        <v>774</v>
      </c>
      <c r="I755" t="s" s="1">
        <v>2178</v>
      </c>
      <c r="J755" t="s" s="1">
        <v>3124</v>
      </c>
      <c r="K755" t="s" s="1">
        <v>702</v>
      </c>
      <c r="L755" t="s" s="1">
        <v>299</v>
      </c>
      <c r="M755" t="n" s="5">
        <v>48000.0</v>
      </c>
      <c r="N755" t="n" s="7">
        <v>44266.0</v>
      </c>
      <c r="O755" t="n" s="7">
        <v>44561.0</v>
      </c>
      <c r="P755" t="s" s="1">
        <v>3384</v>
      </c>
    </row>
    <row r="756" spans="1:16">
      <c r="A756" t="n" s="4">
        <v>752</v>
      </c>
      <c r="B756" s="2">
        <f>HYPERLINK("https://my.zakupki.prom.ua/remote/dispatcher/state_purchase_view/25228855", "UA-2021-03-25-004814-a")</f>
        <v/>
      </c>
      <c r="C756" t="s" s="2">
        <v>3102</v>
      </c>
      <c r="D756" s="2">
        <f>HYPERLINK("https://my.zakupki.prom.ua/remote/dispatcher/state_contracting_view/8260557", "UA-2021-03-25-004814-a-a1")</f>
        <v/>
      </c>
      <c r="E756" t="s" s="1">
        <v>1890</v>
      </c>
      <c r="F756" t="s" s="1">
        <v>2659</v>
      </c>
      <c r="G756" t="s" s="1">
        <v>3467</v>
      </c>
      <c r="H756" t="s" s="1">
        <v>774</v>
      </c>
      <c r="I756" t="s" s="1">
        <v>2178</v>
      </c>
      <c r="J756" t="s" s="1">
        <v>3258</v>
      </c>
      <c r="K756" t="s" s="1">
        <v>776</v>
      </c>
      <c r="L756" t="s" s="1">
        <v>150</v>
      </c>
      <c r="M756" t="n" s="5">
        <v>4158.0</v>
      </c>
      <c r="N756" t="n" s="7">
        <v>44280.0</v>
      </c>
      <c r="O756" t="n" s="7">
        <v>44561.0</v>
      </c>
      <c r="P756" t="s" s="1">
        <v>3384</v>
      </c>
    </row>
    <row r="757" spans="1:16">
      <c r="A757" t="n" s="4">
        <v>753</v>
      </c>
      <c r="B757" s="2">
        <f>HYPERLINK("https://my.zakupki.prom.ua/remote/dispatcher/state_purchase_view/32748896", "UA-2021-12-08-005484-c")</f>
        <v/>
      </c>
      <c r="C757" t="s" s="2">
        <v>3102</v>
      </c>
      <c r="D757" s="2">
        <f>HYPERLINK("https://my.zakupki.prom.ua/remote/dispatcher/state_contracting_view/11771846", "UA-2021-12-08-005484-c-c1")</f>
        <v/>
      </c>
      <c r="E757" t="s" s="1">
        <v>1847</v>
      </c>
      <c r="F757" t="s" s="1">
        <v>3045</v>
      </c>
      <c r="G757" t="s" s="1">
        <v>3045</v>
      </c>
      <c r="H757" t="s" s="1">
        <v>774</v>
      </c>
      <c r="I757" t="s" s="1">
        <v>2178</v>
      </c>
      <c r="J757" t="s" s="1">
        <v>3209</v>
      </c>
      <c r="K757" t="s" s="1">
        <v>776</v>
      </c>
      <c r="L757" t="s" s="1">
        <v>880</v>
      </c>
      <c r="M757" t="n" s="5">
        <v>11590.0</v>
      </c>
      <c r="N757" t="n" s="7">
        <v>44538.0</v>
      </c>
      <c r="O757" t="n" s="7">
        <v>44561.0</v>
      </c>
      <c r="P757" t="s" s="1">
        <v>3384</v>
      </c>
    </row>
    <row r="758" spans="1:16">
      <c r="A758" t="n" s="4">
        <v>754</v>
      </c>
      <c r="B758" s="2">
        <f>HYPERLINK("https://my.zakupki.prom.ua/remote/dispatcher/state_purchase_view/31626352", "UA-2021-11-10-007788-a")</f>
        <v/>
      </c>
      <c r="C758" t="s" s="2">
        <v>3102</v>
      </c>
      <c r="D758" s="2">
        <f>HYPERLINK("https://my.zakupki.prom.ua/remote/dispatcher/state_contracting_view/11250174", "UA-2021-11-10-007788-a-a1")</f>
        <v/>
      </c>
      <c r="E758" t="s" s="1">
        <v>1821</v>
      </c>
      <c r="F758" t="s" s="1">
        <v>2583</v>
      </c>
      <c r="G758" t="s" s="1">
        <v>2583</v>
      </c>
      <c r="H758" t="s" s="1">
        <v>774</v>
      </c>
      <c r="I758" t="s" s="1">
        <v>2178</v>
      </c>
      <c r="J758" t="s" s="1">
        <v>3216</v>
      </c>
      <c r="K758" t="s" s="1">
        <v>519</v>
      </c>
      <c r="L758" t="s" s="1">
        <v>1572</v>
      </c>
      <c r="M758" t="n" s="5">
        <v>767.0</v>
      </c>
      <c r="N758" t="n" s="7">
        <v>44509.0</v>
      </c>
      <c r="O758" t="n" s="7">
        <v>44561.0</v>
      </c>
      <c r="P758" t="s" s="1">
        <v>3384</v>
      </c>
    </row>
    <row r="759" spans="1:16">
      <c r="A759" t="n" s="4">
        <v>755</v>
      </c>
      <c r="B759" s="2">
        <f>HYPERLINK("https://my.zakupki.prom.ua/remote/dispatcher/state_purchase_view/22993852", "UA-2021-01-16-000414-a")</f>
        <v/>
      </c>
      <c r="C759" t="s" s="2">
        <v>3102</v>
      </c>
      <c r="D759" s="2">
        <f>HYPERLINK("https://my.zakupki.prom.ua/remote/dispatcher/state_contracting_view/7234530", "UA-2021-01-16-000414-a-a1")</f>
        <v/>
      </c>
      <c r="E759" t="s" s="1">
        <v>566</v>
      </c>
      <c r="F759" t="s" s="1">
        <v>2551</v>
      </c>
      <c r="G759" t="s" s="1">
        <v>2551</v>
      </c>
      <c r="H759" t="s" s="1">
        <v>763</v>
      </c>
      <c r="I759" t="s" s="1">
        <v>2178</v>
      </c>
      <c r="J759" t="s" s="1">
        <v>3294</v>
      </c>
      <c r="K759" t="s" s="1">
        <v>879</v>
      </c>
      <c r="L759" t="s" s="1">
        <v>424</v>
      </c>
      <c r="M759" t="n" s="5">
        <v>6616.03</v>
      </c>
      <c r="N759" t="n" s="7">
        <v>44212.0</v>
      </c>
      <c r="O759" t="n" s="7">
        <v>44561.0</v>
      </c>
      <c r="P759" t="s" s="1">
        <v>3384</v>
      </c>
    </row>
    <row r="760" spans="1:16">
      <c r="A760" t="n" s="4">
        <v>756</v>
      </c>
      <c r="B760" s="2">
        <f>HYPERLINK("https://my.zakupki.prom.ua/remote/dispatcher/state_purchase_view/23424657", "UA-2021-01-29-003211-b")</f>
        <v/>
      </c>
      <c r="C760" t="s" s="2">
        <v>3102</v>
      </c>
      <c r="D760" s="2">
        <f>HYPERLINK("https://my.zakupki.prom.ua/remote/dispatcher/state_contracting_view/7418152", "UA-2021-01-29-003211-b-b1")</f>
        <v/>
      </c>
      <c r="E760" t="s" s="1">
        <v>112</v>
      </c>
      <c r="F760" t="s" s="1">
        <v>2195</v>
      </c>
      <c r="G760" t="s" s="1">
        <v>3519</v>
      </c>
      <c r="H760" t="s" s="1">
        <v>774</v>
      </c>
      <c r="I760" t="s" s="1">
        <v>2178</v>
      </c>
      <c r="J760" t="s" s="1">
        <v>3277</v>
      </c>
      <c r="K760" t="s" s="1">
        <v>519</v>
      </c>
      <c r="L760" t="s" s="1">
        <v>1383</v>
      </c>
      <c r="M760" t="n" s="5">
        <v>5493.78</v>
      </c>
      <c r="N760" t="n" s="7">
        <v>44224.0</v>
      </c>
      <c r="O760" t="n" s="7">
        <v>44561.0</v>
      </c>
      <c r="P760" t="s" s="1">
        <v>3384</v>
      </c>
    </row>
    <row r="761" spans="1:16">
      <c r="A761" t="n" s="4">
        <v>757</v>
      </c>
      <c r="B761" s="2">
        <f>HYPERLINK("https://my.zakupki.prom.ua/remote/dispatcher/state_purchase_view/23995676", "UA-2021-02-15-000767-c")</f>
        <v/>
      </c>
      <c r="C761" t="s" s="2">
        <v>3102</v>
      </c>
      <c r="D761" s="2">
        <f>HYPERLINK("https://my.zakupki.prom.ua/remote/dispatcher/state_contracting_view/7664225", "UA-2021-02-15-000767-c-c1")</f>
        <v/>
      </c>
      <c r="E761" t="s" s="1">
        <v>1987</v>
      </c>
      <c r="F761" t="s" s="1">
        <v>2224</v>
      </c>
      <c r="G761" t="s" s="1">
        <v>2224</v>
      </c>
      <c r="H761" t="s" s="1">
        <v>48</v>
      </c>
      <c r="I761" t="s" s="1">
        <v>2178</v>
      </c>
      <c r="J761" t="s" s="1">
        <v>3308</v>
      </c>
      <c r="K761" t="s" s="1">
        <v>674</v>
      </c>
      <c r="L761" t="s" s="1">
        <v>1748</v>
      </c>
      <c r="M761" t="n" s="5">
        <v>10260.0</v>
      </c>
      <c r="N761" t="n" s="7">
        <v>44237.0</v>
      </c>
      <c r="O761" t="n" s="7">
        <v>44561.0</v>
      </c>
      <c r="P761" t="s" s="1">
        <v>3384</v>
      </c>
    </row>
    <row r="762" spans="1:16">
      <c r="A762" t="n" s="4">
        <v>758</v>
      </c>
      <c r="B762" s="2">
        <f>HYPERLINK("https://my.zakupki.prom.ua/remote/dispatcher/state_purchase_view/24094672", "UA-2021-02-17-004216-a")</f>
        <v/>
      </c>
      <c r="C762" t="s" s="2">
        <v>3102</v>
      </c>
      <c r="D762" s="2">
        <f>HYPERLINK("https://my.zakupki.prom.ua/remote/dispatcher/state_contracting_view/7713274", "UA-2021-02-17-004216-a-a1")</f>
        <v/>
      </c>
      <c r="E762" t="s" s="1">
        <v>2017</v>
      </c>
      <c r="F762" t="s" s="1">
        <v>2996</v>
      </c>
      <c r="G762" t="s" s="1">
        <v>2996</v>
      </c>
      <c r="H762" t="s" s="1">
        <v>1573</v>
      </c>
      <c r="I762" t="s" s="1">
        <v>2178</v>
      </c>
      <c r="J762" t="s" s="1">
        <v>2157</v>
      </c>
      <c r="K762" t="s" s="1">
        <v>435</v>
      </c>
      <c r="L762" t="s" s="1">
        <v>226</v>
      </c>
      <c r="M762" t="n" s="5">
        <v>887.39</v>
      </c>
      <c r="N762" t="n" s="7">
        <v>44244.0</v>
      </c>
      <c r="O762" t="n" s="7">
        <v>44561.0</v>
      </c>
      <c r="P762" t="s" s="1">
        <v>3384</v>
      </c>
    </row>
    <row r="763" spans="1:16">
      <c r="A763" t="n" s="4">
        <v>759</v>
      </c>
      <c r="B763" s="2">
        <f>HYPERLINK("https://my.zakupki.prom.ua/remote/dispatcher/state_purchase_view/23168551", "UA-2021-01-22-006146-b")</f>
        <v/>
      </c>
      <c r="C763" t="s" s="2">
        <v>3102</v>
      </c>
      <c r="D763" s="2">
        <f>HYPERLINK("https://my.zakupki.prom.ua/remote/dispatcher/state_contracting_view/7301409", "UA-2021-01-22-006146-b-b1")</f>
        <v/>
      </c>
      <c r="E763" t="s" s="1">
        <v>1879</v>
      </c>
      <c r="F763" t="s" s="1">
        <v>2972</v>
      </c>
      <c r="G763" t="s" s="1">
        <v>2972</v>
      </c>
      <c r="H763" t="s" s="1">
        <v>1453</v>
      </c>
      <c r="I763" t="s" s="1">
        <v>2178</v>
      </c>
      <c r="J763" t="s" s="1">
        <v>2157</v>
      </c>
      <c r="K763" t="s" s="1">
        <v>435</v>
      </c>
      <c r="L763" t="s" s="1">
        <v>606</v>
      </c>
      <c r="M763" t="n" s="5">
        <v>3102.12</v>
      </c>
      <c r="N763" t="n" s="7">
        <v>44218.0</v>
      </c>
      <c r="O763" t="n" s="7">
        <v>44561.0</v>
      </c>
      <c r="P763" t="s" s="1">
        <v>3384</v>
      </c>
    </row>
    <row r="764" spans="1:16">
      <c r="A764" t="n" s="4">
        <v>760</v>
      </c>
      <c r="B764" s="2">
        <f>HYPERLINK("https://my.zakupki.prom.ua/remote/dispatcher/state_purchase_view/32711565", "UA-2021-12-07-013798-c")</f>
        <v/>
      </c>
      <c r="C764" t="s" s="2">
        <v>3102</v>
      </c>
      <c r="D764" s="2">
        <f>HYPERLINK("https://my.zakupki.prom.ua/remote/dispatcher/state_contracting_view/11748193", "UA-2021-12-07-013798-c-c1")</f>
        <v/>
      </c>
      <c r="E764" t="s" s="1">
        <v>77</v>
      </c>
      <c r="F764" t="s" s="1">
        <v>2203</v>
      </c>
      <c r="G764" t="s" s="1">
        <v>2203</v>
      </c>
      <c r="H764" t="s" s="1">
        <v>1444</v>
      </c>
      <c r="I764" t="s" s="1">
        <v>2178</v>
      </c>
      <c r="J764" t="s" s="1">
        <v>2155</v>
      </c>
      <c r="K764" t="s" s="1">
        <v>334</v>
      </c>
      <c r="L764" t="s" s="1">
        <v>1086</v>
      </c>
      <c r="M764" t="n" s="5">
        <v>4993.0</v>
      </c>
      <c r="N764" t="n" s="7">
        <v>44537.0</v>
      </c>
      <c r="O764" t="n" s="7">
        <v>44561.0</v>
      </c>
      <c r="P764" t="s" s="1">
        <v>3384</v>
      </c>
    </row>
    <row r="765" spans="1:16">
      <c r="A765" t="n" s="4">
        <v>761</v>
      </c>
      <c r="B765" s="2">
        <f>HYPERLINK("https://my.zakupki.prom.ua/remote/dispatcher/state_purchase_view/31513840", "UA-2021-11-08-003109-b")</f>
        <v/>
      </c>
      <c r="C765" t="s" s="2">
        <v>3102</v>
      </c>
      <c r="D765" s="2">
        <f>HYPERLINK("https://my.zakupki.prom.ua/remote/dispatcher/state_contracting_view/11197121", "UA-2021-11-08-003109-b-b1")</f>
        <v/>
      </c>
      <c r="E765" t="s" s="1">
        <v>1943</v>
      </c>
      <c r="F765" t="s" s="1">
        <v>3023</v>
      </c>
      <c r="G765" t="s" s="1">
        <v>3023</v>
      </c>
      <c r="H765" t="s" s="1">
        <v>1632</v>
      </c>
      <c r="I765" t="s" s="1">
        <v>2178</v>
      </c>
      <c r="J765" t="s" s="1">
        <v>2186</v>
      </c>
      <c r="K765" t="s" s="1">
        <v>29</v>
      </c>
      <c r="L765" t="s" s="1">
        <v>1567</v>
      </c>
      <c r="M765" t="n" s="5">
        <v>19564.66</v>
      </c>
      <c r="N765" t="n" s="7">
        <v>44508.0</v>
      </c>
      <c r="O765" t="n" s="7">
        <v>44561.0</v>
      </c>
      <c r="P765" t="s" s="1">
        <v>3384</v>
      </c>
    </row>
    <row r="766" spans="1:16">
      <c r="A766" t="n" s="4">
        <v>762</v>
      </c>
      <c r="B766" s="2">
        <f>HYPERLINK("https://my.zakupki.prom.ua/remote/dispatcher/state_purchase_view/23369624", "UA-2021-01-28-003052-b")</f>
        <v/>
      </c>
      <c r="C766" t="s" s="2">
        <v>3102</v>
      </c>
      <c r="D766" s="2">
        <f>HYPERLINK("https://my.zakupki.prom.ua/remote/dispatcher/state_contracting_view/7382606", "UA-2021-01-28-003052-b-b1")</f>
        <v/>
      </c>
      <c r="E766" t="s" s="1">
        <v>1540</v>
      </c>
      <c r="F766" t="s" s="1">
        <v>3007</v>
      </c>
      <c r="G766" t="s" s="1">
        <v>3007</v>
      </c>
      <c r="H766" t="s" s="1">
        <v>1576</v>
      </c>
      <c r="I766" t="s" s="1">
        <v>2178</v>
      </c>
      <c r="J766" t="s" s="1">
        <v>3284</v>
      </c>
      <c r="K766" t="s" s="1">
        <v>771</v>
      </c>
      <c r="L766" t="s" s="1">
        <v>3354</v>
      </c>
      <c r="M766" t="n" s="5">
        <v>1600.01</v>
      </c>
      <c r="N766" t="n" s="7">
        <v>44222.0</v>
      </c>
      <c r="O766" t="n" s="7">
        <v>44561.0</v>
      </c>
      <c r="P766" t="s" s="1">
        <v>3384</v>
      </c>
    </row>
    <row r="767" spans="1:16">
      <c r="A767" t="n" s="4">
        <v>763</v>
      </c>
      <c r="B767" s="2">
        <f>HYPERLINK("https://my.zakupki.prom.ua/remote/dispatcher/state_purchase_view/33852709", "UA-2021-12-29-010758-c")</f>
        <v/>
      </c>
      <c r="C767" t="s" s="2">
        <v>3102</v>
      </c>
      <c r="D767" s="2">
        <f>HYPERLINK("https://my.zakupki.prom.ua/remote/dispatcher/state_contracting_view/12302454", "UA-2021-12-29-010758-c-c1")</f>
        <v/>
      </c>
      <c r="E767" t="s" s="1">
        <v>1955</v>
      </c>
      <c r="F767" t="s" s="1">
        <v>2912</v>
      </c>
      <c r="G767" t="s" s="1">
        <v>2912</v>
      </c>
      <c r="H767" t="s" s="1">
        <v>1173</v>
      </c>
      <c r="I767" t="s" s="1">
        <v>2178</v>
      </c>
      <c r="J767" t="s" s="1">
        <v>3090</v>
      </c>
      <c r="K767" t="s" s="1">
        <v>654</v>
      </c>
      <c r="L767" t="s" s="1">
        <v>1677</v>
      </c>
      <c r="M767" t="n" s="5">
        <v>600.0</v>
      </c>
      <c r="N767" t="n" s="7">
        <v>44559.0</v>
      </c>
      <c r="O767" t="n" s="7">
        <v>44561.0</v>
      </c>
      <c r="P767" t="s" s="1">
        <v>3384</v>
      </c>
    </row>
    <row r="768" spans="1:16">
      <c r="A768" t="n" s="4">
        <v>764</v>
      </c>
      <c r="B768" s="2">
        <f>HYPERLINK("https://my.zakupki.prom.ua/remote/dispatcher/state_purchase_view/29047220", "UA-2021-08-16-004793-a")</f>
        <v/>
      </c>
      <c r="C768" t="s" s="2">
        <v>3102</v>
      </c>
      <c r="D768" s="2">
        <f>HYPERLINK("https://my.zakupki.prom.ua/remote/dispatcher/state_contracting_view/10181644", "UA-2021-08-16-004793-a-a1")</f>
        <v/>
      </c>
      <c r="E768" t="s" s="1">
        <v>1971</v>
      </c>
      <c r="F768" t="s" s="1">
        <v>2932</v>
      </c>
      <c r="G768" t="s" s="1">
        <v>2932</v>
      </c>
      <c r="H768" t="s" s="1">
        <v>1317</v>
      </c>
      <c r="I768" t="s" s="1">
        <v>3143</v>
      </c>
      <c r="J768" t="s" s="1">
        <v>3271</v>
      </c>
      <c r="K768" t="s" s="1">
        <v>694</v>
      </c>
      <c r="L768" t="s" s="1">
        <v>416</v>
      </c>
      <c r="M768" t="n" s="5">
        <v>23232.0</v>
      </c>
      <c r="N768" t="n" s="7">
        <v>44434.0</v>
      </c>
      <c r="O768" t="n" s="7">
        <v>44561.0</v>
      </c>
      <c r="P768" t="s" s="1">
        <v>3384</v>
      </c>
    </row>
    <row r="769" spans="1:16">
      <c r="A769" t="n" s="4">
        <v>765</v>
      </c>
      <c r="B769" s="2">
        <f>HYPERLINK("https://my.zakupki.prom.ua/remote/dispatcher/state_purchase_view/23559861", "UA-2021-02-02-014749-a")</f>
        <v/>
      </c>
      <c r="C769" t="s" s="2">
        <v>3102</v>
      </c>
      <c r="D769" s="2">
        <f>HYPERLINK("https://my.zakupki.prom.ua/remote/dispatcher/state_contracting_view/7465074", "UA-2021-02-02-014749-a-a1")</f>
        <v/>
      </c>
      <c r="E769" t="s" s="1">
        <v>1782</v>
      </c>
      <c r="F769" t="s" s="1">
        <v>2985</v>
      </c>
      <c r="G769" t="s" s="1">
        <v>4</v>
      </c>
      <c r="H769" t="s" s="1">
        <v>1530</v>
      </c>
      <c r="I769" t="s" s="1">
        <v>2178</v>
      </c>
      <c r="J769" t="s" s="1">
        <v>3318</v>
      </c>
      <c r="K769" t="s" s="1">
        <v>975</v>
      </c>
      <c r="L769" t="s" s="1">
        <v>565</v>
      </c>
      <c r="M769" t="n" s="5">
        <v>8400.0</v>
      </c>
      <c r="N769" t="n" s="7">
        <v>44228.0</v>
      </c>
      <c r="O769" t="n" s="7">
        <v>44561.0</v>
      </c>
      <c r="P769" t="s" s="1">
        <v>3384</v>
      </c>
    </row>
    <row r="770" spans="1:16">
      <c r="A770" t="n" s="4">
        <v>766</v>
      </c>
      <c r="B770" s="2">
        <f>HYPERLINK("https://my.zakupki.prom.ua/remote/dispatcher/state_purchase_view/24422864", "UA-2021-02-26-001361-a")</f>
        <v/>
      </c>
      <c r="C770" t="s" s="2">
        <v>3102</v>
      </c>
      <c r="D770" s="2">
        <f>HYPERLINK("https://my.zakupki.prom.ua/remote/dispatcher/state_contracting_view/7861642", "UA-2021-02-26-001361-a-a1")</f>
        <v/>
      </c>
      <c r="E770" t="s" s="1">
        <v>1772</v>
      </c>
      <c r="F770" t="s" s="1">
        <v>2601</v>
      </c>
      <c r="G770" t="s" s="1">
        <v>3359</v>
      </c>
      <c r="H770" t="s" s="1">
        <v>774</v>
      </c>
      <c r="I770" t="s" s="1">
        <v>2178</v>
      </c>
      <c r="J770" t="s" s="1">
        <v>3131</v>
      </c>
      <c r="K770" t="s" s="1">
        <v>658</v>
      </c>
      <c r="L770" t="s" s="1">
        <v>333</v>
      </c>
      <c r="M770" t="n" s="5">
        <v>35952.09</v>
      </c>
      <c r="N770" t="n" s="7">
        <v>44252.0</v>
      </c>
      <c r="O770" t="n" s="7">
        <v>44561.0</v>
      </c>
      <c r="P770" t="s" s="1">
        <v>3384</v>
      </c>
    </row>
    <row r="771" spans="1:16">
      <c r="A771" t="n" s="4">
        <v>767</v>
      </c>
      <c r="B771" s="2">
        <f>HYPERLINK("https://my.zakupki.prom.ua/remote/dispatcher/state_purchase_view/24095045", "UA-2021-02-17-004376-a")</f>
        <v/>
      </c>
      <c r="C771" t="s" s="2">
        <v>3102</v>
      </c>
      <c r="D771" s="2">
        <f>HYPERLINK("https://my.zakupki.prom.ua/remote/dispatcher/state_contracting_view/7718132", "UA-2021-02-17-004376-a-a1")</f>
        <v/>
      </c>
      <c r="E771" t="s" s="1">
        <v>508</v>
      </c>
      <c r="F771" t="s" s="1">
        <v>2999</v>
      </c>
      <c r="G771" t="s" s="1">
        <v>2999</v>
      </c>
      <c r="H771" t="s" s="1">
        <v>1573</v>
      </c>
      <c r="I771" t="s" s="1">
        <v>2178</v>
      </c>
      <c r="J771" t="s" s="1">
        <v>2157</v>
      </c>
      <c r="K771" t="s" s="1">
        <v>435</v>
      </c>
      <c r="L771" t="s" s="1">
        <v>229</v>
      </c>
      <c r="M771" t="n" s="5">
        <v>709.92</v>
      </c>
      <c r="N771" t="n" s="7">
        <v>44244.0</v>
      </c>
      <c r="O771" t="n" s="7">
        <v>44561.0</v>
      </c>
      <c r="P771" t="s" s="1">
        <v>3384</v>
      </c>
    </row>
    <row r="772" spans="1:16">
      <c r="A772" t="n" s="4">
        <v>768</v>
      </c>
      <c r="B772" s="2">
        <f>HYPERLINK("https://my.zakupki.prom.ua/remote/dispatcher/state_purchase_view/22930203", "UA-2021-01-13-000869-a")</f>
        <v/>
      </c>
      <c r="C772" t="s" s="2">
        <v>3102</v>
      </c>
      <c r="D772" s="2">
        <f>HYPERLINK("https://my.zakupki.prom.ua/remote/dispatcher/state_contracting_view/7213367", "UA-2021-01-13-000869-a-a1")</f>
        <v/>
      </c>
      <c r="E772" t="s" s="1">
        <v>2087</v>
      </c>
      <c r="F772" t="s" s="1">
        <v>2430</v>
      </c>
      <c r="G772" t="s" s="1">
        <v>2430</v>
      </c>
      <c r="H772" t="s" s="1">
        <v>693</v>
      </c>
      <c r="I772" t="s" s="1">
        <v>2178</v>
      </c>
      <c r="J772" t="s" s="1">
        <v>3112</v>
      </c>
      <c r="K772" t="s" s="1">
        <v>802</v>
      </c>
      <c r="L772" t="s" s="1">
        <v>1160</v>
      </c>
      <c r="M772" t="n" s="5">
        <v>4118.25</v>
      </c>
      <c r="N772" t="n" s="7">
        <v>44209.0</v>
      </c>
      <c r="O772" t="n" s="7">
        <v>44561.0</v>
      </c>
      <c r="P772" t="s" s="1">
        <v>3384</v>
      </c>
    </row>
    <row r="773" spans="1:16">
      <c r="A773" t="n" s="4">
        <v>769</v>
      </c>
      <c r="B773" s="2">
        <f>HYPERLINK("https://my.zakupki.prom.ua/remote/dispatcher/state_purchase_view/26305292", "UA-2021-05-05-001851-c")</f>
        <v/>
      </c>
      <c r="C773" t="s" s="2">
        <v>3102</v>
      </c>
      <c r="D773" s="2">
        <f>HYPERLINK("https://my.zakupki.prom.ua/remote/dispatcher/state_contracting_view/8774243", "UA-2021-05-05-001851-c-c1")</f>
        <v/>
      </c>
      <c r="E773" t="s" s="1">
        <v>1323</v>
      </c>
      <c r="F773" t="s" s="1">
        <v>2980</v>
      </c>
      <c r="G773" t="s" s="1">
        <v>2980</v>
      </c>
      <c r="H773" t="s" s="1">
        <v>1461</v>
      </c>
      <c r="I773" t="s" s="1">
        <v>2178</v>
      </c>
      <c r="J773" t="s" s="1">
        <v>3137</v>
      </c>
      <c r="K773" t="s" s="1">
        <v>842</v>
      </c>
      <c r="L773" t="s" s="1">
        <v>1106</v>
      </c>
      <c r="M773" t="n" s="5">
        <v>3900.0</v>
      </c>
      <c r="N773" t="n" s="7">
        <v>44321.0</v>
      </c>
      <c r="O773" t="n" s="7">
        <v>44561.0</v>
      </c>
      <c r="P773" t="s" s="1">
        <v>3384</v>
      </c>
    </row>
    <row r="774" spans="1:16">
      <c r="A774" t="n" s="4">
        <v>770</v>
      </c>
      <c r="B774" s="2">
        <f>HYPERLINK("https://my.zakupki.prom.ua/remote/dispatcher/state_purchase_view/27087434", "UA-2021-06-02-002310-b")</f>
        <v/>
      </c>
      <c r="C774" t="s" s="2">
        <v>3102</v>
      </c>
      <c r="D774" s="2">
        <f>HYPERLINK("https://my.zakupki.prom.ua/remote/dispatcher/state_contracting_view/9132886", "UA-2021-06-02-002310-b-b1")</f>
        <v/>
      </c>
      <c r="E774" t="s" s="1">
        <v>2100</v>
      </c>
      <c r="F774" t="s" s="1">
        <v>3017</v>
      </c>
      <c r="G774" t="s" s="1">
        <v>3371</v>
      </c>
      <c r="H774" t="s" s="1">
        <v>1632</v>
      </c>
      <c r="I774" t="s" s="1">
        <v>2178</v>
      </c>
      <c r="J774" t="s" s="1">
        <v>2156</v>
      </c>
      <c r="K774" t="s" s="1">
        <v>888</v>
      </c>
      <c r="L774" t="s" s="1">
        <v>1239</v>
      </c>
      <c r="M774" t="n" s="5">
        <v>849.0</v>
      </c>
      <c r="N774" t="n" s="7">
        <v>44348.0</v>
      </c>
      <c r="O774" t="n" s="7">
        <v>44561.0</v>
      </c>
      <c r="P774" t="s" s="1">
        <v>3384</v>
      </c>
    </row>
    <row r="775" spans="1:16">
      <c r="A775" t="n" s="4">
        <v>771</v>
      </c>
      <c r="B775" s="2">
        <f>HYPERLINK("https://my.zakupki.prom.ua/remote/dispatcher/state_purchase_view/24869321", "UA-2021-03-15-001141-b")</f>
        <v/>
      </c>
      <c r="C775" t="s" s="2">
        <v>3102</v>
      </c>
      <c r="D775" s="2">
        <f>HYPERLINK("https://my.zakupki.prom.ua/remote/dispatcher/state_contracting_view/8085702", "UA-2021-03-15-001141-b-b1")</f>
        <v/>
      </c>
      <c r="E775" t="s" s="1">
        <v>90</v>
      </c>
      <c r="F775" t="s" s="1">
        <v>2861</v>
      </c>
      <c r="G775" t="s" s="1">
        <v>2861</v>
      </c>
      <c r="H775" t="s" s="1">
        <v>1076</v>
      </c>
      <c r="I775" t="s" s="1">
        <v>2178</v>
      </c>
      <c r="J775" t="s" s="1">
        <v>3112</v>
      </c>
      <c r="K775" t="s" s="1">
        <v>802</v>
      </c>
      <c r="L775" t="s" s="1">
        <v>968</v>
      </c>
      <c r="M775" t="n" s="5">
        <v>428.25</v>
      </c>
      <c r="N775" t="n" s="7">
        <v>44270.0</v>
      </c>
      <c r="O775" t="n" s="7">
        <v>44561.0</v>
      </c>
      <c r="P775" t="s" s="1">
        <v>3384</v>
      </c>
    </row>
    <row r="776" spans="1:16">
      <c r="A776" t="n" s="4">
        <v>772</v>
      </c>
      <c r="B776" s="2">
        <f>HYPERLINK("https://my.zakupki.prom.ua/remote/dispatcher/state_purchase_view/24783330", "UA-2021-03-11-003743-b")</f>
        <v/>
      </c>
      <c r="C776" t="s" s="2">
        <v>3102</v>
      </c>
      <c r="D776" s="2">
        <f>HYPERLINK("https://my.zakupki.prom.ua/remote/dispatcher/state_contracting_view/8044113", "UA-2021-03-11-003743-b-b1")</f>
        <v/>
      </c>
      <c r="E776" t="s" s="1">
        <v>1775</v>
      </c>
      <c r="F776" t="s" s="1">
        <v>2759</v>
      </c>
      <c r="G776" t="s" s="1">
        <v>3501</v>
      </c>
      <c r="H776" t="s" s="1">
        <v>914</v>
      </c>
      <c r="I776" t="s" s="1">
        <v>2178</v>
      </c>
      <c r="J776" t="s" s="1">
        <v>3306</v>
      </c>
      <c r="K776" t="s" s="1">
        <v>996</v>
      </c>
      <c r="L776" t="s" s="1">
        <v>3067</v>
      </c>
      <c r="M776" t="n" s="5">
        <v>5631.0</v>
      </c>
      <c r="N776" t="n" s="7">
        <v>44266.0</v>
      </c>
      <c r="O776" t="n" s="7">
        <v>44561.0</v>
      </c>
      <c r="P776" t="s" s="1">
        <v>3384</v>
      </c>
    </row>
    <row r="777" spans="1:16">
      <c r="A777" t="n" s="4">
        <v>773</v>
      </c>
      <c r="B777" s="2">
        <f>HYPERLINK("https://my.zakupki.prom.ua/remote/dispatcher/state_purchase_view/24773555", "UA-2021-03-11-000889-b")</f>
        <v/>
      </c>
      <c r="C777" t="s" s="2">
        <v>3102</v>
      </c>
      <c r="D777" s="2">
        <f>HYPERLINK("https://my.zakupki.prom.ua/remote/dispatcher/state_contracting_view/8041809", "UA-2021-03-11-000889-b-b1")</f>
        <v/>
      </c>
      <c r="E777" t="s" s="1">
        <v>1688</v>
      </c>
      <c r="F777" t="s" s="1">
        <v>3022</v>
      </c>
      <c r="G777" t="s" s="1">
        <v>3022</v>
      </c>
      <c r="H777" t="s" s="1">
        <v>1632</v>
      </c>
      <c r="I777" t="s" s="1">
        <v>2178</v>
      </c>
      <c r="J777" t="s" s="1">
        <v>2156</v>
      </c>
      <c r="K777" t="s" s="1">
        <v>888</v>
      </c>
      <c r="L777" t="s" s="1">
        <v>222</v>
      </c>
      <c r="M777" t="n" s="5">
        <v>85.22</v>
      </c>
      <c r="N777" t="n" s="7">
        <v>44266.0</v>
      </c>
      <c r="O777" t="n" s="7">
        <v>44561.0</v>
      </c>
      <c r="P777" t="s" s="1">
        <v>3384</v>
      </c>
    </row>
    <row r="778" spans="1:16">
      <c r="A778" t="n" s="4">
        <v>774</v>
      </c>
      <c r="B778" s="2">
        <f>HYPERLINK("https://my.zakupki.prom.ua/remote/dispatcher/state_purchase_view/24779853", "UA-2021-03-11-002759-b")</f>
        <v/>
      </c>
      <c r="C778" t="s" s="2">
        <v>3102</v>
      </c>
      <c r="D778" s="2">
        <f>HYPERLINK("https://my.zakupki.prom.ua/remote/dispatcher/state_contracting_view/8031366", "UA-2021-03-11-002759-b-b1")</f>
        <v/>
      </c>
      <c r="E778" t="s" s="1">
        <v>1182</v>
      </c>
      <c r="F778" t="s" s="1">
        <v>2350</v>
      </c>
      <c r="G778" t="s" s="1">
        <v>2350</v>
      </c>
      <c r="H778" t="s" s="1">
        <v>494</v>
      </c>
      <c r="I778" t="s" s="1">
        <v>2178</v>
      </c>
      <c r="J778" t="s" s="1">
        <v>3270</v>
      </c>
      <c r="K778" t="s" s="1">
        <v>746</v>
      </c>
      <c r="L778" t="s" s="1">
        <v>314</v>
      </c>
      <c r="M778" t="n" s="5">
        <v>1500.0</v>
      </c>
      <c r="N778" t="n" s="7">
        <v>44266.0</v>
      </c>
      <c r="O778" t="n" s="7">
        <v>44561.0</v>
      </c>
      <c r="P778" t="s" s="1">
        <v>3384</v>
      </c>
    </row>
    <row r="779" spans="1:16">
      <c r="A779" t="n" s="4">
        <v>775</v>
      </c>
      <c r="B779" s="2">
        <f>HYPERLINK("https://my.zakupki.prom.ua/remote/dispatcher/state_purchase_view/31760403", "UA-2021-11-15-000579-a")</f>
        <v/>
      </c>
      <c r="C779" t="s" s="2">
        <v>3102</v>
      </c>
      <c r="D779" s="2">
        <f>HYPERLINK("https://my.zakupki.prom.ua/remote/dispatcher/state_contracting_view/11309080", "UA-2021-11-15-000579-a-a1")</f>
        <v/>
      </c>
      <c r="E779" t="s" s="1">
        <v>698</v>
      </c>
      <c r="F779" t="s" s="1">
        <v>2619</v>
      </c>
      <c r="G779" t="s" s="1">
        <v>2619</v>
      </c>
      <c r="H779" t="s" s="1">
        <v>774</v>
      </c>
      <c r="I779" t="s" s="1">
        <v>2178</v>
      </c>
      <c r="J779" t="s" s="1">
        <v>3216</v>
      </c>
      <c r="K779" t="s" s="1">
        <v>519</v>
      </c>
      <c r="L779" t="s" s="1">
        <v>1582</v>
      </c>
      <c r="M779" t="n" s="5">
        <v>6435.0</v>
      </c>
      <c r="N779" t="n" s="7">
        <v>44512.0</v>
      </c>
      <c r="O779" t="n" s="7">
        <v>44561.0</v>
      </c>
      <c r="P779" t="s" s="1">
        <v>3384</v>
      </c>
    </row>
    <row r="780" spans="1:16">
      <c r="A780" t="n" s="4">
        <v>776</v>
      </c>
      <c r="B780" s="2">
        <f>HYPERLINK("https://my.zakupki.prom.ua/remote/dispatcher/state_purchase_view/25253956", "UA-2021-03-26-007033-c")</f>
        <v/>
      </c>
      <c r="C780" t="s" s="2">
        <v>3102</v>
      </c>
      <c r="D780" s="2">
        <f>HYPERLINK("https://my.zakupki.prom.ua/remote/dispatcher/state_contracting_view/8277021", "UA-2021-03-26-007033-c-c1")</f>
        <v/>
      </c>
      <c r="E780" t="s" s="1">
        <v>1402</v>
      </c>
      <c r="F780" t="s" s="1">
        <v>2864</v>
      </c>
      <c r="G780" t="s" s="1">
        <v>3385</v>
      </c>
      <c r="H780" t="s" s="1">
        <v>1076</v>
      </c>
      <c r="I780" t="s" s="1">
        <v>2178</v>
      </c>
      <c r="J780" t="s" s="1">
        <v>3309</v>
      </c>
      <c r="K780" t="s" s="1">
        <v>611</v>
      </c>
      <c r="L780" t="s" s="1">
        <v>3176</v>
      </c>
      <c r="M780" t="n" s="5">
        <v>736.0</v>
      </c>
      <c r="N780" t="n" s="7">
        <v>44281.0</v>
      </c>
      <c r="O780" t="n" s="7">
        <v>44561.0</v>
      </c>
      <c r="P780" t="s" s="1">
        <v>3384</v>
      </c>
    </row>
    <row r="781" spans="1:16">
      <c r="A781" t="n" s="4">
        <v>777</v>
      </c>
      <c r="B781" s="2">
        <f>HYPERLINK("https://my.zakupki.prom.ua/remote/dispatcher/state_purchase_view/25253351", "UA-2021-03-26-006655-c")</f>
        <v/>
      </c>
      <c r="C781" t="s" s="2">
        <v>3102</v>
      </c>
      <c r="D781" s="2">
        <f>HYPERLINK("https://my.zakupki.prom.ua/remote/dispatcher/state_contracting_view/8276435", "UA-2021-03-26-006655-c-c1")</f>
        <v/>
      </c>
      <c r="E781" t="s" s="1">
        <v>772</v>
      </c>
      <c r="F781" t="s" s="1">
        <v>2455</v>
      </c>
      <c r="G781" t="s" s="1">
        <v>3427</v>
      </c>
      <c r="H781" t="s" s="1">
        <v>708</v>
      </c>
      <c r="I781" t="s" s="1">
        <v>2178</v>
      </c>
      <c r="J781" t="s" s="1">
        <v>3310</v>
      </c>
      <c r="K781" t="s" s="1">
        <v>574</v>
      </c>
      <c r="L781" t="s" s="1">
        <v>3201</v>
      </c>
      <c r="M781" t="n" s="5">
        <v>1030.0</v>
      </c>
      <c r="N781" t="n" s="7">
        <v>44281.0</v>
      </c>
      <c r="O781" t="n" s="7">
        <v>44561.0</v>
      </c>
      <c r="P781" t="s" s="1">
        <v>3384</v>
      </c>
    </row>
    <row r="782" spans="1:16">
      <c r="A782" t="n" s="4">
        <v>778</v>
      </c>
      <c r="B782" s="2">
        <f>HYPERLINK("https://my.zakupki.prom.ua/remote/dispatcher/state_purchase_view/24581352", "UA-2021-03-03-011756-c")</f>
        <v/>
      </c>
      <c r="C782" t="s" s="2">
        <v>3102</v>
      </c>
      <c r="D782" s="2">
        <f>HYPERLINK("https://my.zakupki.prom.ua/remote/dispatcher/state_contracting_view/7942469", "UA-2021-03-03-011756-c-c1")</f>
        <v/>
      </c>
      <c r="E782" t="s" s="1">
        <v>1155</v>
      </c>
      <c r="F782" t="s" s="1">
        <v>2575</v>
      </c>
      <c r="G782" t="s" s="1">
        <v>2174</v>
      </c>
      <c r="H782" t="s" s="1">
        <v>774</v>
      </c>
      <c r="I782" t="s" s="1">
        <v>2178</v>
      </c>
      <c r="J782" t="s" s="1">
        <v>3277</v>
      </c>
      <c r="K782" t="s" s="1">
        <v>519</v>
      </c>
      <c r="L782" t="s" s="1">
        <v>230</v>
      </c>
      <c r="M782" t="n" s="5">
        <v>20314.0</v>
      </c>
      <c r="N782" t="n" s="7">
        <v>44256.0</v>
      </c>
      <c r="O782" t="n" s="7">
        <v>44561.0</v>
      </c>
      <c r="P782" t="s" s="1">
        <v>3384</v>
      </c>
    </row>
    <row r="783" spans="1:16">
      <c r="A783" t="n" s="4">
        <v>779</v>
      </c>
      <c r="B783" s="2">
        <f>HYPERLINK("https://my.zakupki.prom.ua/remote/dispatcher/state_purchase_view/23869434", "UA-2021-02-10-008241-a")</f>
        <v/>
      </c>
      <c r="C783" t="s" s="2">
        <v>3102</v>
      </c>
      <c r="D783" s="2">
        <f>HYPERLINK("https://my.zakupki.prom.ua/remote/dispatcher/state_contracting_view/7603002", "UA-2021-02-10-008241-a-a1")</f>
        <v/>
      </c>
      <c r="E783" t="s" s="1">
        <v>1950</v>
      </c>
      <c r="F783" t="s" s="1">
        <v>2629</v>
      </c>
      <c r="G783" t="s" s="1">
        <v>3419</v>
      </c>
      <c r="H783" t="s" s="1">
        <v>774</v>
      </c>
      <c r="I783" t="s" s="1">
        <v>2178</v>
      </c>
      <c r="J783" t="s" s="1">
        <v>3302</v>
      </c>
      <c r="K783" t="s" s="1">
        <v>853</v>
      </c>
      <c r="L783" t="s" s="1">
        <v>3323</v>
      </c>
      <c r="M783" t="n" s="5">
        <v>59500.0</v>
      </c>
      <c r="N783" t="n" s="7">
        <v>44237.0</v>
      </c>
      <c r="O783" t="n" s="7">
        <v>44561.0</v>
      </c>
      <c r="P783" t="s" s="1">
        <v>3384</v>
      </c>
    </row>
    <row r="784" spans="1:16">
      <c r="A784" t="n" s="4">
        <v>780</v>
      </c>
      <c r="B784" s="2">
        <f>HYPERLINK("https://my.zakupki.prom.ua/remote/dispatcher/state_purchase_view/24259229", "UA-2021-02-22-011881-b")</f>
        <v/>
      </c>
      <c r="C784" t="s" s="2">
        <v>3102</v>
      </c>
      <c r="D784" s="2">
        <f>HYPERLINK("https://my.zakupki.prom.ua/remote/dispatcher/state_contracting_view/7788036", "UA-2021-02-22-011881-b-b1")</f>
        <v/>
      </c>
      <c r="E784" t="s" s="1">
        <v>105</v>
      </c>
      <c r="F784" t="s" s="1">
        <v>2520</v>
      </c>
      <c r="G784" t="s" s="1">
        <v>3472</v>
      </c>
      <c r="H784" t="s" s="1">
        <v>759</v>
      </c>
      <c r="I784" t="s" s="1">
        <v>2178</v>
      </c>
      <c r="J784" t="s" s="1">
        <v>3258</v>
      </c>
      <c r="K784" t="s" s="1">
        <v>776</v>
      </c>
      <c r="L784" t="s" s="1">
        <v>1207</v>
      </c>
      <c r="M784" t="n" s="5">
        <v>95400.0</v>
      </c>
      <c r="N784" t="n" s="7">
        <v>44249.0</v>
      </c>
      <c r="O784" t="n" s="7">
        <v>44561.0</v>
      </c>
      <c r="P784" t="s" s="1">
        <v>3384</v>
      </c>
    </row>
    <row r="785" spans="1:16">
      <c r="A785" t="n" s="4">
        <v>781</v>
      </c>
      <c r="B785" s="2">
        <f>HYPERLINK("https://my.zakupki.prom.ua/remote/dispatcher/state_purchase_view/25531334", "UA-2021-04-05-004628-c")</f>
        <v/>
      </c>
      <c r="C785" t="s" s="2">
        <v>3102</v>
      </c>
      <c r="D785" s="2">
        <f>HYPERLINK("https://my.zakupki.prom.ua/remote/dispatcher/state_contracting_view/8390332", "UA-2021-04-05-004628-c-c1")</f>
        <v/>
      </c>
      <c r="E785" t="s" s="1">
        <v>1803</v>
      </c>
      <c r="F785" t="s" s="1">
        <v>2499</v>
      </c>
      <c r="G785" t="s" s="1">
        <v>3397</v>
      </c>
      <c r="H785" t="s" s="1">
        <v>759</v>
      </c>
      <c r="I785" t="s" s="1">
        <v>2178</v>
      </c>
      <c r="J785" t="s" s="1">
        <v>3258</v>
      </c>
      <c r="K785" t="s" s="1">
        <v>776</v>
      </c>
      <c r="L785" t="s" s="1">
        <v>178</v>
      </c>
      <c r="M785" t="n" s="5">
        <v>105750.0</v>
      </c>
      <c r="N785" t="n" s="7">
        <v>44291.0</v>
      </c>
      <c r="O785" t="n" s="7">
        <v>44561.0</v>
      </c>
      <c r="P785" t="s" s="1">
        <v>3384</v>
      </c>
    </row>
    <row r="786" spans="1:16">
      <c r="A786" t="n" s="4">
        <v>782</v>
      </c>
      <c r="B786" s="2">
        <f>HYPERLINK("https://my.zakupki.prom.ua/remote/dispatcher/state_purchase_view/26678251", "UA-2021-05-19-005810-b")</f>
        <v/>
      </c>
      <c r="C786" t="s" s="2">
        <v>3102</v>
      </c>
      <c r="D786" s="2">
        <f>HYPERLINK("https://my.zakupki.prom.ua/remote/dispatcher/state_contracting_view/8947116", "UA-2021-05-19-005810-b-b1")</f>
        <v/>
      </c>
      <c r="E786" t="s" s="1">
        <v>1899</v>
      </c>
      <c r="F786" t="s" s="1">
        <v>2452</v>
      </c>
      <c r="G786" t="s" s="1">
        <v>2452</v>
      </c>
      <c r="H786" t="s" s="1">
        <v>708</v>
      </c>
      <c r="I786" t="s" s="1">
        <v>2178</v>
      </c>
      <c r="J786" t="s" s="1">
        <v>3278</v>
      </c>
      <c r="K786" t="s" s="1">
        <v>734</v>
      </c>
      <c r="L786" t="s" s="1">
        <v>687</v>
      </c>
      <c r="M786" t="n" s="5">
        <v>2169.6</v>
      </c>
      <c r="N786" t="n" s="7">
        <v>44335.0</v>
      </c>
      <c r="O786" t="n" s="7">
        <v>44561.0</v>
      </c>
      <c r="P786" t="s" s="1">
        <v>3384</v>
      </c>
    </row>
    <row r="787" spans="1:16">
      <c r="A787" t="n" s="4">
        <v>783</v>
      </c>
      <c r="B787" s="2">
        <f>HYPERLINK("https://my.zakupki.prom.ua/remote/dispatcher/state_purchase_view/28571051", "UA-2021-07-28-003586-b")</f>
        <v/>
      </c>
      <c r="C787" t="s" s="2">
        <v>3102</v>
      </c>
      <c r="D787" s="2">
        <f>HYPERLINK("https://my.zakupki.prom.ua/remote/dispatcher/state_contracting_view/9836206", "UA-2021-07-28-003586-b-b1")</f>
        <v/>
      </c>
      <c r="E787" t="s" s="1">
        <v>1885</v>
      </c>
      <c r="F787" t="s" s="1">
        <v>2541</v>
      </c>
      <c r="G787" t="s" s="1">
        <v>2541</v>
      </c>
      <c r="H787" t="s" s="1">
        <v>759</v>
      </c>
      <c r="I787" t="s" s="1">
        <v>2178</v>
      </c>
      <c r="J787" t="s" s="1">
        <v>3136</v>
      </c>
      <c r="K787" t="s" s="1">
        <v>658</v>
      </c>
      <c r="L787" t="s" s="1">
        <v>856</v>
      </c>
      <c r="M787" t="n" s="5">
        <v>920.0</v>
      </c>
      <c r="N787" t="n" s="7">
        <v>44404.0</v>
      </c>
      <c r="O787" t="n" s="7">
        <v>44561.0</v>
      </c>
      <c r="P787" t="s" s="1">
        <v>3384</v>
      </c>
    </row>
    <row r="788" spans="1:16">
      <c r="A788" t="n" s="4">
        <v>784</v>
      </c>
      <c r="B788" s="2">
        <f>HYPERLINK("https://my.zakupki.prom.ua/remote/dispatcher/state_purchase_view/30290174", "UA-2021-09-28-002544-b")</f>
        <v/>
      </c>
      <c r="C788" t="s" s="2">
        <v>3102</v>
      </c>
      <c r="D788" s="2">
        <f>HYPERLINK("https://my.zakupki.prom.ua/remote/dispatcher/state_contracting_view/10635071", "UA-2021-09-28-002544-b-b1")</f>
        <v/>
      </c>
      <c r="E788" t="s" s="1">
        <v>2034</v>
      </c>
      <c r="F788" t="s" s="1">
        <v>2885</v>
      </c>
      <c r="G788" t="s" s="1">
        <v>2885</v>
      </c>
      <c r="H788" t="s" s="1">
        <v>1083</v>
      </c>
      <c r="I788" t="s" s="1">
        <v>2178</v>
      </c>
      <c r="J788" t="s" s="1">
        <v>2141</v>
      </c>
      <c r="K788" t="s" s="1">
        <v>438</v>
      </c>
      <c r="L788" t="s" s="1">
        <v>1487</v>
      </c>
      <c r="M788" t="n" s="5">
        <v>4600.0</v>
      </c>
      <c r="N788" t="n" s="7">
        <v>44467.0</v>
      </c>
      <c r="O788" t="n" s="7">
        <v>44561.0</v>
      </c>
      <c r="P788" t="s" s="1">
        <v>3384</v>
      </c>
    </row>
    <row r="789" spans="1:16">
      <c r="A789" t="n" s="4">
        <v>785</v>
      </c>
      <c r="B789" s="2">
        <f>HYPERLINK("https://my.zakupki.prom.ua/remote/dispatcher/state_purchase_view/29175420", "UA-2021-08-19-008878-a")</f>
        <v/>
      </c>
      <c r="C789" t="s" s="2">
        <v>3102</v>
      </c>
      <c r="D789" s="2">
        <f>HYPERLINK("https://my.zakupki.prom.ua/remote/dispatcher/state_contracting_view/10123977", "UA-2021-08-19-008878-a-a1")</f>
        <v/>
      </c>
      <c r="E789" t="s" s="1">
        <v>1028</v>
      </c>
      <c r="F789" t="s" s="1">
        <v>2563</v>
      </c>
      <c r="G789" t="s" s="1">
        <v>2563</v>
      </c>
      <c r="H789" t="s" s="1">
        <v>763</v>
      </c>
      <c r="I789" t="s" s="1">
        <v>2178</v>
      </c>
      <c r="J789" t="s" s="1">
        <v>3220</v>
      </c>
      <c r="K789" t="s" s="1">
        <v>519</v>
      </c>
      <c r="L789" t="s" s="1">
        <v>1371</v>
      </c>
      <c r="M789" t="n" s="5">
        <v>549.98</v>
      </c>
      <c r="N789" t="n" s="7">
        <v>44427.0</v>
      </c>
      <c r="O789" t="n" s="7">
        <v>44561.0</v>
      </c>
      <c r="P789" t="s" s="1">
        <v>3384</v>
      </c>
    </row>
    <row r="790" spans="1:16">
      <c r="A790" t="n" s="4">
        <v>786</v>
      </c>
      <c r="B790" s="2">
        <f>HYPERLINK("https://my.zakupki.prom.ua/remote/dispatcher/state_purchase_view/27946326", "UA-2021-07-05-001541-c")</f>
        <v/>
      </c>
      <c r="C790" t="s" s="2">
        <v>3102</v>
      </c>
      <c r="D790" s="2">
        <f>HYPERLINK("https://my.zakupki.prom.ua/remote/dispatcher/state_contracting_view/9799660", "UA-2021-07-05-001541-c-b1")</f>
        <v/>
      </c>
      <c r="E790" t="s" s="1">
        <v>1868</v>
      </c>
      <c r="F790" t="s" s="1">
        <v>2474</v>
      </c>
      <c r="G790" t="s" s="1">
        <v>2476</v>
      </c>
      <c r="H790" t="s" s="1">
        <v>757</v>
      </c>
      <c r="I790" t="s" s="1">
        <v>3171</v>
      </c>
      <c r="J790" t="s" s="1">
        <v>3315</v>
      </c>
      <c r="K790" t="s" s="1">
        <v>922</v>
      </c>
      <c r="L790" t="s" s="1">
        <v>1361</v>
      </c>
      <c r="M790" t="n" s="5">
        <v>140640.8</v>
      </c>
      <c r="N790" t="n" s="7">
        <v>44403.0</v>
      </c>
      <c r="O790" t="n" s="7">
        <v>44561.0</v>
      </c>
      <c r="P790" t="s" s="1">
        <v>3384</v>
      </c>
    </row>
    <row r="791" spans="1:16">
      <c r="A791" t="n" s="4">
        <v>787</v>
      </c>
      <c r="B791" s="2">
        <f>HYPERLINK("https://my.zakupki.prom.ua/remote/dispatcher/state_purchase_view/29508240", "UA-2021-09-03-001677-c")</f>
        <v/>
      </c>
      <c r="C791" t="s" s="2">
        <v>3102</v>
      </c>
      <c r="D791" s="2">
        <f>HYPERLINK("https://my.zakupki.prom.ua/remote/dispatcher/state_contracting_view/10273886", "UA-2021-09-03-001677-c-c1")</f>
        <v/>
      </c>
      <c r="E791" t="s" s="1">
        <v>1464</v>
      </c>
      <c r="F791" t="s" s="1">
        <v>2968</v>
      </c>
      <c r="G791" t="s" s="1">
        <v>2968</v>
      </c>
      <c r="H791" t="s" s="1">
        <v>1453</v>
      </c>
      <c r="I791" t="s" s="1">
        <v>2178</v>
      </c>
      <c r="J791" t="s" s="1">
        <v>3279</v>
      </c>
      <c r="K791" t="s" s="1">
        <v>868</v>
      </c>
      <c r="L791" t="s" s="1">
        <v>133</v>
      </c>
      <c r="M791" t="n" s="5">
        <v>20000.0</v>
      </c>
      <c r="N791" t="n" s="7">
        <v>44442.0</v>
      </c>
      <c r="O791" t="n" s="7">
        <v>44561.0</v>
      </c>
      <c r="P791" t="s" s="1">
        <v>3384</v>
      </c>
    </row>
    <row r="792" spans="1:16">
      <c r="A792" t="n" s="4">
        <v>788</v>
      </c>
      <c r="B792" s="2">
        <f>HYPERLINK("https://my.zakupki.prom.ua/remote/dispatcher/state_purchase_view/30155269", "UA-2021-09-23-004569-b")</f>
        <v/>
      </c>
      <c r="C792" t="s" s="2">
        <v>3102</v>
      </c>
      <c r="D792" s="2">
        <f>HYPERLINK("https://my.zakupki.prom.ua/remote/dispatcher/state_contracting_view/10571444", "UA-2021-09-23-004569-b-b1")</f>
        <v/>
      </c>
      <c r="E792" t="s" s="1">
        <v>73</v>
      </c>
      <c r="F792" t="s" s="1">
        <v>2849</v>
      </c>
      <c r="G792" t="s" s="1">
        <v>2849</v>
      </c>
      <c r="H792" t="s" s="1">
        <v>1073</v>
      </c>
      <c r="I792" t="s" s="1">
        <v>2178</v>
      </c>
      <c r="J792" t="s" s="1">
        <v>3113</v>
      </c>
      <c r="K792" t="s" s="1">
        <v>816</v>
      </c>
      <c r="L792" t="s" s="1">
        <v>148</v>
      </c>
      <c r="M792" t="n" s="5">
        <v>138.0</v>
      </c>
      <c r="N792" t="n" s="7">
        <v>44462.0</v>
      </c>
      <c r="O792" t="n" s="7">
        <v>44561.0</v>
      </c>
      <c r="P792" t="s" s="1">
        <v>3384</v>
      </c>
    </row>
    <row r="793" spans="1:16">
      <c r="A793" t="n" s="4">
        <v>789</v>
      </c>
      <c r="B793" s="2">
        <f>HYPERLINK("https://my.zakupki.prom.ua/remote/dispatcher/state_purchase_view/30151661", "UA-2021-09-23-003584-b")</f>
        <v/>
      </c>
      <c r="C793" t="s" s="2">
        <v>3102</v>
      </c>
      <c r="D793" s="2">
        <f>HYPERLINK("https://my.zakupki.prom.ua/remote/dispatcher/state_contracting_view/10570123", "UA-2021-09-23-003584-b-b1")</f>
        <v/>
      </c>
      <c r="E793" t="s" s="1">
        <v>1623</v>
      </c>
      <c r="F793" t="s" s="1">
        <v>2233</v>
      </c>
      <c r="G793" t="s" s="1">
        <v>2233</v>
      </c>
      <c r="H793" t="s" s="1">
        <v>98</v>
      </c>
      <c r="I793" t="s" s="1">
        <v>2178</v>
      </c>
      <c r="J793" t="s" s="1">
        <v>3113</v>
      </c>
      <c r="K793" t="s" s="1">
        <v>816</v>
      </c>
      <c r="L793" t="s" s="1">
        <v>1162</v>
      </c>
      <c r="M793" t="n" s="5">
        <v>828.6</v>
      </c>
      <c r="N793" t="n" s="7">
        <v>44462.0</v>
      </c>
      <c r="O793" t="n" s="7">
        <v>44561.0</v>
      </c>
      <c r="P793" t="s" s="1">
        <v>3384</v>
      </c>
    </row>
    <row r="794" spans="1:16">
      <c r="A794" t="n" s="4">
        <v>790</v>
      </c>
      <c r="B794" s="2">
        <f>HYPERLINK("https://my.zakupki.prom.ua/remote/dispatcher/state_purchase_view/30149209", "UA-2021-09-23-002826-b")</f>
        <v/>
      </c>
      <c r="C794" t="s" s="2">
        <v>3102</v>
      </c>
      <c r="D794" s="2">
        <f>HYPERLINK("https://my.zakupki.prom.ua/remote/dispatcher/state_contracting_view/10568755", "UA-2021-09-23-002826-b-b1")</f>
        <v/>
      </c>
      <c r="E794" t="s" s="1">
        <v>1415</v>
      </c>
      <c r="F794" t="s" s="1">
        <v>2857</v>
      </c>
      <c r="G794" t="s" s="1">
        <v>2857</v>
      </c>
      <c r="H794" t="s" s="1">
        <v>1075</v>
      </c>
      <c r="I794" t="s" s="1">
        <v>2178</v>
      </c>
      <c r="J794" t="s" s="1">
        <v>3113</v>
      </c>
      <c r="K794" t="s" s="1">
        <v>816</v>
      </c>
      <c r="L794" t="s" s="1">
        <v>407</v>
      </c>
      <c r="M794" t="n" s="5">
        <v>1070.9</v>
      </c>
      <c r="N794" t="n" s="7">
        <v>44462.0</v>
      </c>
      <c r="O794" t="n" s="7">
        <v>44561.0</v>
      </c>
      <c r="P794" t="s" s="1">
        <v>3384</v>
      </c>
    </row>
    <row r="795" spans="1:16">
      <c r="A795" t="n" s="4">
        <v>791</v>
      </c>
      <c r="B795" s="2">
        <f>HYPERLINK("https://my.zakupki.prom.ua/remote/dispatcher/state_purchase_view/30420840", "UA-2021-10-01-008757-b")</f>
        <v/>
      </c>
      <c r="C795" t="s" s="2">
        <v>3102</v>
      </c>
      <c r="D795" s="2">
        <f>HYPERLINK("https://my.zakupki.prom.ua/remote/dispatcher/state_contracting_view/10694323", "UA-2021-10-01-008757-b-b1")</f>
        <v/>
      </c>
      <c r="E795" t="s" s="1">
        <v>1140</v>
      </c>
      <c r="F795" t="s" s="1">
        <v>2594</v>
      </c>
      <c r="G795" t="s" s="1">
        <v>3348</v>
      </c>
      <c r="H795" t="s" s="1">
        <v>774</v>
      </c>
      <c r="I795" t="s" s="1">
        <v>2178</v>
      </c>
      <c r="J795" t="s" s="1">
        <v>3277</v>
      </c>
      <c r="K795" t="s" s="1">
        <v>519</v>
      </c>
      <c r="L795" t="s" s="1">
        <v>1497</v>
      </c>
      <c r="M795" t="n" s="5">
        <v>188143.1</v>
      </c>
      <c r="N795" t="n" s="7">
        <v>44470.0</v>
      </c>
      <c r="O795" t="n" s="7">
        <v>44561.0</v>
      </c>
      <c r="P795" t="s" s="1">
        <v>3384</v>
      </c>
    </row>
    <row r="796" spans="1:16">
      <c r="A796" t="n" s="4">
        <v>792</v>
      </c>
      <c r="B796" s="2">
        <f>HYPERLINK("https://my.zakupki.prom.ua/remote/dispatcher/state_purchase_view/26182687", "UA-2021-04-27-003923-a")</f>
        <v/>
      </c>
      <c r="C796" t="s" s="2">
        <v>3102</v>
      </c>
      <c r="D796" s="2">
        <f>HYPERLINK("https://my.zakupki.prom.ua/remote/dispatcher/state_contracting_view/8702055", "UA-2021-04-27-003923-a-a1")</f>
        <v/>
      </c>
      <c r="E796" t="s" s="1">
        <v>635</v>
      </c>
      <c r="F796" t="s" s="1">
        <v>2634</v>
      </c>
      <c r="G796" t="s" s="1">
        <v>3422</v>
      </c>
      <c r="H796" t="s" s="1">
        <v>774</v>
      </c>
      <c r="I796" t="s" s="1">
        <v>2178</v>
      </c>
      <c r="J796" t="s" s="1">
        <v>3277</v>
      </c>
      <c r="K796" t="s" s="1">
        <v>519</v>
      </c>
      <c r="L796" t="s" s="1">
        <v>1074</v>
      </c>
      <c r="M796" t="n" s="5">
        <v>486817.19</v>
      </c>
      <c r="N796" t="n" s="7">
        <v>44313.0</v>
      </c>
      <c r="O796" t="n" s="7">
        <v>44561.0</v>
      </c>
      <c r="P796" t="s" s="1">
        <v>3384</v>
      </c>
    </row>
    <row r="797" spans="1:16">
      <c r="A797" t="n" s="4">
        <v>793</v>
      </c>
      <c r="B797" s="2">
        <f>HYPERLINK("https://my.zakupki.prom.ua/remote/dispatcher/state_purchase_view/25630636", "UA-2021-04-08-000935-b")</f>
        <v/>
      </c>
      <c r="C797" t="s" s="2">
        <v>3102</v>
      </c>
      <c r="D797" s="2">
        <f>HYPERLINK("https://my.zakupki.prom.ua/remote/dispatcher/state_contracting_view/8442877", "UA-2021-04-08-000935-b-b1")</f>
        <v/>
      </c>
      <c r="E797" t="s" s="1">
        <v>67</v>
      </c>
      <c r="F797" t="s" s="1">
        <v>2318</v>
      </c>
      <c r="G797" t="s" s="1">
        <v>2318</v>
      </c>
      <c r="H797" t="s" s="1">
        <v>295</v>
      </c>
      <c r="I797" t="s" s="1">
        <v>2178</v>
      </c>
      <c r="J797" t="s" s="1">
        <v>3112</v>
      </c>
      <c r="K797" t="s" s="1">
        <v>802</v>
      </c>
      <c r="L797" t="s" s="1">
        <v>91</v>
      </c>
      <c r="M797" t="n" s="5">
        <v>3335.0</v>
      </c>
      <c r="N797" t="n" s="7">
        <v>44294.0</v>
      </c>
      <c r="O797" t="n" s="7">
        <v>44561.0</v>
      </c>
      <c r="P797" t="s" s="1">
        <v>3384</v>
      </c>
    </row>
    <row r="798" spans="1:16">
      <c r="A798" t="n" s="4">
        <v>794</v>
      </c>
      <c r="B798" s="2">
        <f>HYPERLINK("https://my.zakupki.prom.ua/remote/dispatcher/state_purchase_view/25629987", "UA-2021-04-08-000754-b")</f>
        <v/>
      </c>
      <c r="C798" t="s" s="2">
        <v>3102</v>
      </c>
      <c r="D798" s="2">
        <f>HYPERLINK("https://my.zakupki.prom.ua/remote/dispatcher/state_contracting_view/8442664", "UA-2021-04-08-000754-b-b1")</f>
        <v/>
      </c>
      <c r="E798" t="s" s="1">
        <v>2060</v>
      </c>
      <c r="F798" t="s" s="1">
        <v>2868</v>
      </c>
      <c r="G798" t="s" s="1">
        <v>2868</v>
      </c>
      <c r="H798" t="s" s="1">
        <v>1077</v>
      </c>
      <c r="I798" t="s" s="1">
        <v>2178</v>
      </c>
      <c r="J798" t="s" s="1">
        <v>3112</v>
      </c>
      <c r="K798" t="s" s="1">
        <v>802</v>
      </c>
      <c r="L798" t="s" s="1">
        <v>68</v>
      </c>
      <c r="M798" t="n" s="5">
        <v>517.6</v>
      </c>
      <c r="N798" t="n" s="7">
        <v>44294.0</v>
      </c>
      <c r="O798" t="n" s="7">
        <v>44561.0</v>
      </c>
      <c r="P798" t="s" s="1">
        <v>3384</v>
      </c>
    </row>
    <row r="799" spans="1:16">
      <c r="A799" t="n" s="4">
        <v>795</v>
      </c>
      <c r="B799" s="2">
        <f>HYPERLINK("https://my.zakupki.prom.ua/remote/dispatcher/state_purchase_view/25629260", "UA-2021-04-08-000527-b")</f>
        <v/>
      </c>
      <c r="C799" t="s" s="2">
        <v>3102</v>
      </c>
      <c r="D799" s="2">
        <f>HYPERLINK("https://my.zakupki.prom.ua/remote/dispatcher/state_contracting_view/8442469", "UA-2021-04-08-000527-b-b1")</f>
        <v/>
      </c>
      <c r="E799" t="s" s="1">
        <v>1306</v>
      </c>
      <c r="F799" t="s" s="1">
        <v>2884</v>
      </c>
      <c r="G799" t="s" s="1">
        <v>2884</v>
      </c>
      <c r="H799" t="s" s="1">
        <v>1083</v>
      </c>
      <c r="I799" t="s" s="1">
        <v>2178</v>
      </c>
      <c r="J799" t="s" s="1">
        <v>3112</v>
      </c>
      <c r="K799" t="s" s="1">
        <v>802</v>
      </c>
      <c r="L799" t="s" s="1">
        <v>45</v>
      </c>
      <c r="M799" t="n" s="5">
        <v>202.8</v>
      </c>
      <c r="N799" t="n" s="7">
        <v>44294.0</v>
      </c>
      <c r="O799" t="n" s="7">
        <v>44561.0</v>
      </c>
      <c r="P799" t="s" s="1">
        <v>3384</v>
      </c>
    </row>
    <row r="800" spans="1:16">
      <c r="A800" t="n" s="4">
        <v>796</v>
      </c>
      <c r="B800" s="2">
        <f>HYPERLINK("https://my.zakupki.prom.ua/remote/dispatcher/state_purchase_view/30682702", "UA-2021-10-11-009672-b")</f>
        <v/>
      </c>
      <c r="C800" t="s" s="2">
        <v>3102</v>
      </c>
      <c r="D800" s="2">
        <f>HYPERLINK("https://my.zakupki.prom.ua/remote/dispatcher/state_contracting_view/10813931", "UA-2021-10-11-009672-b-b1")</f>
        <v/>
      </c>
      <c r="E800" t="s" s="1">
        <v>1407</v>
      </c>
      <c r="F800" t="s" s="1">
        <v>2310</v>
      </c>
      <c r="G800" t="s" s="1">
        <v>2310</v>
      </c>
      <c r="H800" t="s" s="1">
        <v>279</v>
      </c>
      <c r="I800" t="s" s="1">
        <v>2178</v>
      </c>
      <c r="J800" t="s" s="1">
        <v>3356</v>
      </c>
      <c r="K800" t="s" s="1">
        <v>814</v>
      </c>
      <c r="L800" t="s" s="1">
        <v>1506</v>
      </c>
      <c r="M800" t="n" s="5">
        <v>1990.0</v>
      </c>
      <c r="N800" t="n" s="7">
        <v>44480.0</v>
      </c>
      <c r="O800" t="n" s="7">
        <v>44561.0</v>
      </c>
      <c r="P800" t="s" s="1">
        <v>3384</v>
      </c>
    </row>
    <row r="801" spans="1:16">
      <c r="A801" t="n" s="4">
        <v>797</v>
      </c>
      <c r="B801" s="2">
        <f>HYPERLINK("https://my.zakupki.prom.ua/remote/dispatcher/state_purchase_view/31887163", "UA-2021-11-17-006798-a")</f>
        <v/>
      </c>
      <c r="C801" t="s" s="2">
        <v>3102</v>
      </c>
      <c r="D801" s="2">
        <f>HYPERLINK("https://my.zakupki.prom.ua/remote/dispatcher/state_contracting_view/11368080", "UA-2021-11-17-006798-a-a1")</f>
        <v/>
      </c>
      <c r="E801" t="s" s="1">
        <v>1874</v>
      </c>
      <c r="F801" t="s" s="1">
        <v>2849</v>
      </c>
      <c r="G801" t="s" s="1">
        <v>2849</v>
      </c>
      <c r="H801" t="s" s="1">
        <v>1073</v>
      </c>
      <c r="I801" t="s" s="1">
        <v>2178</v>
      </c>
      <c r="J801" t="s" s="1">
        <v>2141</v>
      </c>
      <c r="K801" t="s" s="1">
        <v>438</v>
      </c>
      <c r="L801" t="s" s="1">
        <v>1592</v>
      </c>
      <c r="M801" t="n" s="5">
        <v>260.0</v>
      </c>
      <c r="N801" t="n" s="7">
        <v>44517.0</v>
      </c>
      <c r="O801" t="n" s="7">
        <v>44561.0</v>
      </c>
      <c r="P801" t="s" s="1">
        <v>3384</v>
      </c>
    </row>
    <row r="802" spans="1:16">
      <c r="A802" t="n" s="4">
        <v>798</v>
      </c>
      <c r="B802" s="2">
        <f>HYPERLINK("https://my.zakupki.prom.ua/remote/dispatcher/state_purchase_view/32038631", "UA-2021-11-22-002810-a")</f>
        <v/>
      </c>
      <c r="C802" t="s" s="2">
        <v>3102</v>
      </c>
      <c r="D802" s="2">
        <f>HYPERLINK("https://my.zakupki.prom.ua/remote/dispatcher/state_contracting_view/11440310", "UA-2021-11-22-002810-a-a1")</f>
        <v/>
      </c>
      <c r="E802" t="s" s="1">
        <v>1326</v>
      </c>
      <c r="F802" t="s" s="1">
        <v>2319</v>
      </c>
      <c r="G802" t="s" s="1">
        <v>2319</v>
      </c>
      <c r="H802" t="s" s="1">
        <v>302</v>
      </c>
      <c r="I802" t="s" s="1">
        <v>2178</v>
      </c>
      <c r="J802" t="s" s="1">
        <v>2141</v>
      </c>
      <c r="K802" t="s" s="1">
        <v>438</v>
      </c>
      <c r="L802" t="s" s="1">
        <v>1602</v>
      </c>
      <c r="M802" t="n" s="5">
        <v>570.0</v>
      </c>
      <c r="N802" t="n" s="7">
        <v>44522.0</v>
      </c>
      <c r="O802" t="n" s="7">
        <v>44561.0</v>
      </c>
      <c r="P802" t="s" s="1">
        <v>3384</v>
      </c>
    </row>
    <row r="803" spans="1:16">
      <c r="A803" t="n" s="4">
        <v>799</v>
      </c>
      <c r="B803" s="2">
        <f>HYPERLINK("https://my.zakupki.prom.ua/remote/dispatcher/state_purchase_view/31508514", "UA-2021-11-08-001267-b")</f>
        <v/>
      </c>
      <c r="C803" t="s" s="2">
        <v>3102</v>
      </c>
      <c r="D803" s="2">
        <f>HYPERLINK("https://my.zakupki.prom.ua/remote/dispatcher/state_contracting_view/11194417", "UA-2021-11-08-001267-b-b1")</f>
        <v/>
      </c>
      <c r="E803" t="s" s="1">
        <v>1845</v>
      </c>
      <c r="F803" t="s" s="1">
        <v>2768</v>
      </c>
      <c r="G803" t="s" s="1">
        <v>2768</v>
      </c>
      <c r="H803" t="s" s="1">
        <v>921</v>
      </c>
      <c r="I803" t="s" s="1">
        <v>2178</v>
      </c>
      <c r="J803" t="s" s="1">
        <v>3161</v>
      </c>
      <c r="K803" t="s" s="1">
        <v>745</v>
      </c>
      <c r="L803" t="s" s="1">
        <v>1531</v>
      </c>
      <c r="M803" t="n" s="5">
        <v>7500.0</v>
      </c>
      <c r="N803" t="n" s="7">
        <v>44508.0</v>
      </c>
      <c r="O803" t="n" s="7">
        <v>44561.0</v>
      </c>
      <c r="P803" t="s" s="1">
        <v>3384</v>
      </c>
    </row>
    <row r="804" spans="1:16">
      <c r="A804" t="n" s="4">
        <v>800</v>
      </c>
      <c r="B804" s="2">
        <f>HYPERLINK("https://my.zakupki.prom.ua/remote/dispatcher/state_purchase_view/25057731", "UA-2021-03-19-000289-b")</f>
        <v/>
      </c>
      <c r="C804" t="s" s="2">
        <v>3102</v>
      </c>
      <c r="D804" s="2">
        <f>HYPERLINK("https://my.zakupki.prom.ua/remote/dispatcher/state_contracting_view/8164714", "UA-2021-03-19-000289-b-b1")</f>
        <v/>
      </c>
      <c r="E804" t="s" s="1">
        <v>304</v>
      </c>
      <c r="F804" t="s" s="1">
        <v>2415</v>
      </c>
      <c r="G804" t="s" s="1">
        <v>3405</v>
      </c>
      <c r="H804" t="s" s="1">
        <v>662</v>
      </c>
      <c r="I804" t="s" s="1">
        <v>2178</v>
      </c>
      <c r="J804" t="s" s="1">
        <v>3268</v>
      </c>
      <c r="K804" t="s" s="1">
        <v>984</v>
      </c>
      <c r="L804" t="s" s="1">
        <v>650</v>
      </c>
      <c r="M804" t="n" s="5">
        <v>1034.0</v>
      </c>
      <c r="N804" t="n" s="7">
        <v>44274.0</v>
      </c>
      <c r="O804" t="n" s="7">
        <v>44561.0</v>
      </c>
      <c r="P804" t="s" s="1">
        <v>3384</v>
      </c>
    </row>
    <row r="805" spans="1:16">
      <c r="A805" t="n" s="4">
        <v>801</v>
      </c>
      <c r="B805" s="2">
        <f>HYPERLINK("https://my.zakupki.prom.ua/remote/dispatcher/state_purchase_view/23591172", "UA-2021-02-03-005500-a")</f>
        <v/>
      </c>
      <c r="C805" t="s" s="2">
        <v>3102</v>
      </c>
      <c r="D805" s="2">
        <f>HYPERLINK("https://my.zakupki.prom.ua/remote/dispatcher/state_contracting_view/7478454", "UA-2021-02-03-005500-a-a1")</f>
        <v/>
      </c>
      <c r="E805" t="s" s="1">
        <v>2072</v>
      </c>
      <c r="F805" t="s" s="1">
        <v>2709</v>
      </c>
      <c r="G805" t="s" s="1">
        <v>3469</v>
      </c>
      <c r="H805" t="s" s="1">
        <v>778</v>
      </c>
      <c r="I805" t="s" s="1">
        <v>2178</v>
      </c>
      <c r="J805" t="s" s="1">
        <v>2176</v>
      </c>
      <c r="K805" t="s" s="1">
        <v>464</v>
      </c>
      <c r="L805" t="s" s="1">
        <v>1496</v>
      </c>
      <c r="M805" t="n" s="5">
        <v>70300.0</v>
      </c>
      <c r="N805" t="n" s="7">
        <v>44230.0</v>
      </c>
      <c r="O805" t="n" s="7">
        <v>44561.0</v>
      </c>
      <c r="P805" t="s" s="1">
        <v>3384</v>
      </c>
    </row>
    <row r="806" spans="1:16">
      <c r="A806" t="n" s="4">
        <v>802</v>
      </c>
      <c r="B806" s="2">
        <f>HYPERLINK("https://my.zakupki.prom.ua/remote/dispatcher/state_purchase_view/24881756", "UA-2021-03-15-004793-b")</f>
        <v/>
      </c>
      <c r="C806" t="s" s="2">
        <v>3102</v>
      </c>
      <c r="D806" s="2">
        <f>HYPERLINK("https://my.zakupki.prom.ua/remote/dispatcher/state_contracting_view/8080586", "UA-2021-03-15-004793-b-b1")</f>
        <v/>
      </c>
      <c r="E806" t="s" s="1">
        <v>1922</v>
      </c>
      <c r="F806" t="s" s="1">
        <v>2707</v>
      </c>
      <c r="G806" t="s" s="1">
        <v>3413</v>
      </c>
      <c r="H806" t="s" s="1">
        <v>777</v>
      </c>
      <c r="I806" t="s" s="1">
        <v>2178</v>
      </c>
      <c r="J806" t="s" s="1">
        <v>3294</v>
      </c>
      <c r="K806" t="s" s="1">
        <v>879</v>
      </c>
      <c r="L806" t="s" s="1">
        <v>1272</v>
      </c>
      <c r="M806" t="n" s="5">
        <v>902.01</v>
      </c>
      <c r="N806" t="n" s="7">
        <v>44270.0</v>
      </c>
      <c r="O806" t="n" s="7">
        <v>44561.0</v>
      </c>
      <c r="P806" t="s" s="1">
        <v>3384</v>
      </c>
    </row>
    <row r="807" spans="1:16">
      <c r="A807" t="n" s="4">
        <v>803</v>
      </c>
      <c r="B807" s="2">
        <f>HYPERLINK("https://my.zakupki.prom.ua/remote/dispatcher/state_purchase_view/29429894", "UA-2021-09-01-000823-a")</f>
        <v/>
      </c>
      <c r="C807" t="s" s="2">
        <v>3102</v>
      </c>
      <c r="D807" s="2">
        <f>HYPERLINK("https://my.zakupki.prom.ua/remote/dispatcher/state_contracting_view/10236716", "UA-2021-09-01-000823-a-a1")</f>
        <v/>
      </c>
      <c r="E807" t="s" s="1">
        <v>1151</v>
      </c>
      <c r="F807" t="s" s="1">
        <v>2344</v>
      </c>
      <c r="G807" t="s" s="1">
        <v>2344</v>
      </c>
      <c r="H807" t="s" s="1">
        <v>378</v>
      </c>
      <c r="I807" t="s" s="1">
        <v>2178</v>
      </c>
      <c r="J807" t="s" s="1">
        <v>3356</v>
      </c>
      <c r="K807" t="s" s="1">
        <v>814</v>
      </c>
      <c r="L807" t="s" s="1">
        <v>1387</v>
      </c>
      <c r="M807" t="n" s="5">
        <v>26017.0</v>
      </c>
      <c r="N807" t="n" s="7">
        <v>44440.0</v>
      </c>
      <c r="O807" t="n" s="7">
        <v>44561.0</v>
      </c>
      <c r="P807" t="s" s="1">
        <v>3384</v>
      </c>
    </row>
    <row r="808" spans="1:16">
      <c r="A808" t="n" s="4">
        <v>804</v>
      </c>
      <c r="B808" s="2">
        <f>HYPERLINK("https://my.zakupki.prom.ua/remote/dispatcher/state_purchase_view/26524192", "UA-2021-05-14-000422-c")</f>
        <v/>
      </c>
      <c r="C808" t="s" s="2">
        <v>3102</v>
      </c>
      <c r="D808" s="2">
        <f>HYPERLINK("https://my.zakupki.prom.ua/remote/dispatcher/state_contracting_view/8866190", "UA-2021-05-14-000422-c-c1")</f>
        <v/>
      </c>
      <c r="E808" t="s" s="1">
        <v>1806</v>
      </c>
      <c r="F808" t="s" s="1">
        <v>2628</v>
      </c>
      <c r="G808" t="s" s="1">
        <v>2628</v>
      </c>
      <c r="H808" t="s" s="1">
        <v>774</v>
      </c>
      <c r="I808" t="s" s="1">
        <v>2178</v>
      </c>
      <c r="J808" t="s" s="1">
        <v>3277</v>
      </c>
      <c r="K808" t="s" s="1">
        <v>519</v>
      </c>
      <c r="L808" t="s" s="1">
        <v>1216</v>
      </c>
      <c r="M808" t="n" s="5">
        <v>245.6</v>
      </c>
      <c r="N808" t="n" s="7">
        <v>44330.0</v>
      </c>
      <c r="O808" t="n" s="7">
        <v>44561.0</v>
      </c>
      <c r="P808" t="s" s="1">
        <v>3384</v>
      </c>
    </row>
    <row r="809" spans="1:16">
      <c r="A809" t="n" s="4">
        <v>805</v>
      </c>
      <c r="B809" s="2">
        <f>HYPERLINK("https://my.zakupki.prom.ua/remote/dispatcher/state_purchase_view/26257470", "UA-2021-04-29-004767-c")</f>
        <v/>
      </c>
      <c r="C809" t="s" s="2">
        <v>3102</v>
      </c>
      <c r="D809" s="2">
        <f>HYPERLINK("https://my.zakupki.prom.ua/remote/dispatcher/state_contracting_view/8739138", "UA-2021-04-29-004767-c-c1")</f>
        <v/>
      </c>
      <c r="E809" t="s" s="1">
        <v>2059</v>
      </c>
      <c r="F809" t="s" s="1">
        <v>2879</v>
      </c>
      <c r="G809" t="s" s="1">
        <v>2879</v>
      </c>
      <c r="H809" t="s" s="1">
        <v>1083</v>
      </c>
      <c r="I809" t="s" s="1">
        <v>2178</v>
      </c>
      <c r="J809" t="s" s="1">
        <v>3112</v>
      </c>
      <c r="K809" t="s" s="1">
        <v>802</v>
      </c>
      <c r="L809" t="s" s="1">
        <v>500</v>
      </c>
      <c r="M809" t="n" s="5">
        <v>1563.95</v>
      </c>
      <c r="N809" t="n" s="7">
        <v>44315.0</v>
      </c>
      <c r="O809" t="n" s="7">
        <v>44561.0</v>
      </c>
      <c r="P809" t="s" s="1">
        <v>3384</v>
      </c>
    </row>
    <row r="810" spans="1:16">
      <c r="A810" t="n" s="4">
        <v>806</v>
      </c>
      <c r="B810" s="2">
        <f>HYPERLINK("https://my.zakupki.prom.ua/remote/dispatcher/state_purchase_view/26101604", "UA-2021-04-23-004157-b")</f>
        <v/>
      </c>
      <c r="C810" t="s" s="2">
        <v>3102</v>
      </c>
      <c r="D810" s="2">
        <f>HYPERLINK("https://my.zakupki.prom.ua/remote/dispatcher/state_contracting_view/8661940", "UA-2021-04-23-004157-b-b1")</f>
        <v/>
      </c>
      <c r="E810" t="s" s="1">
        <v>1946</v>
      </c>
      <c r="F810" t="s" s="1">
        <v>2242</v>
      </c>
      <c r="G810" t="s" s="1">
        <v>2242</v>
      </c>
      <c r="H810" t="s" s="1">
        <v>218</v>
      </c>
      <c r="I810" t="s" s="1">
        <v>2178</v>
      </c>
      <c r="J810" t="s" s="1">
        <v>3269</v>
      </c>
      <c r="K810" t="s" s="1">
        <v>738</v>
      </c>
      <c r="L810" t="s" s="1">
        <v>34</v>
      </c>
      <c r="M810" t="n" s="5">
        <v>4000.0</v>
      </c>
      <c r="N810" t="n" s="7">
        <v>44308.0</v>
      </c>
      <c r="O810" t="n" s="7">
        <v>44561.0</v>
      </c>
      <c r="P810" t="s" s="1">
        <v>3384</v>
      </c>
    </row>
    <row r="811" spans="1:16">
      <c r="A811" t="n" s="4">
        <v>807</v>
      </c>
      <c r="B811" s="2">
        <f>HYPERLINK("https://my.zakupki.prom.ua/remote/dispatcher/state_purchase_view/25840169", "UA-2021-04-15-001961-b")</f>
        <v/>
      </c>
      <c r="C811" t="s" s="2">
        <v>3102</v>
      </c>
      <c r="D811" s="2">
        <f>HYPERLINK("https://my.zakupki.prom.ua/remote/dispatcher/state_contracting_view/8784939", "UA-2021-04-15-001961-b-c1")</f>
        <v/>
      </c>
      <c r="E811" t="s" s="1">
        <v>1421</v>
      </c>
      <c r="F811" t="s" s="1">
        <v>2273</v>
      </c>
      <c r="G811" t="s" s="1">
        <v>2273</v>
      </c>
      <c r="H811" t="s" s="1">
        <v>261</v>
      </c>
      <c r="I811" t="s" s="1">
        <v>3171</v>
      </c>
      <c r="J811" t="s" s="1">
        <v>3127</v>
      </c>
      <c r="K811" t="s" s="1">
        <v>1036</v>
      </c>
      <c r="L811" t="s" s="1">
        <v>1132</v>
      </c>
      <c r="M811" t="n" s="5">
        <v>120840.0</v>
      </c>
      <c r="N811" t="n" s="7">
        <v>44322.0</v>
      </c>
      <c r="O811" t="n" s="7">
        <v>44561.0</v>
      </c>
      <c r="P811" t="s" s="1">
        <v>3384</v>
      </c>
    </row>
    <row r="812" spans="1:16">
      <c r="A812" t="n" s="4">
        <v>808</v>
      </c>
      <c r="B812" s="2">
        <f>HYPERLINK("https://my.zakupki.prom.ua/remote/dispatcher/state_purchase_view/25730212", "UA-2021-04-12-001973-c")</f>
        <v/>
      </c>
      <c r="C812" t="s" s="2">
        <v>3102</v>
      </c>
      <c r="D812" s="2">
        <f>HYPERLINK("https://my.zakupki.prom.ua/remote/dispatcher/state_contracting_view/8488875", "UA-2021-04-12-001973-c-c1")</f>
        <v/>
      </c>
      <c r="E812" t="s" s="1">
        <v>2112</v>
      </c>
      <c r="F812" t="s" s="1">
        <v>2411</v>
      </c>
      <c r="G812" t="s" s="1">
        <v>2411</v>
      </c>
      <c r="H812" t="s" s="1">
        <v>659</v>
      </c>
      <c r="I812" t="s" s="1">
        <v>2178</v>
      </c>
      <c r="J812" t="s" s="1">
        <v>3294</v>
      </c>
      <c r="K812" t="s" s="1">
        <v>879</v>
      </c>
      <c r="L812" t="s" s="1">
        <v>325</v>
      </c>
      <c r="M812" t="n" s="5">
        <v>1128.0</v>
      </c>
      <c r="N812" t="n" s="7">
        <v>44298.0</v>
      </c>
      <c r="O812" t="n" s="7">
        <v>44561.0</v>
      </c>
      <c r="P812" t="s" s="1">
        <v>3384</v>
      </c>
    </row>
    <row r="813" spans="1:16">
      <c r="A813" t="n" s="4">
        <v>809</v>
      </c>
      <c r="B813" s="2">
        <f>HYPERLINK("https://my.zakupki.prom.ua/remote/dispatcher/state_purchase_view/25878649", "UA-2021-04-16-000379-a")</f>
        <v/>
      </c>
      <c r="C813" t="s" s="2">
        <v>3102</v>
      </c>
      <c r="D813" s="2">
        <f>HYPERLINK("https://my.zakupki.prom.ua/remote/dispatcher/state_contracting_view/8555339", "UA-2021-04-16-000379-a-a1")</f>
        <v/>
      </c>
      <c r="E813" t="s" s="1">
        <v>1764</v>
      </c>
      <c r="F813" t="s" s="1">
        <v>2724</v>
      </c>
      <c r="G813" t="s" s="1">
        <v>2724</v>
      </c>
      <c r="H813" t="s" s="1">
        <v>788</v>
      </c>
      <c r="I813" t="s" s="1">
        <v>2178</v>
      </c>
      <c r="J813" t="s" s="1">
        <v>3286</v>
      </c>
      <c r="K813" t="s" s="1">
        <v>820</v>
      </c>
      <c r="L813" t="s" s="1">
        <v>985</v>
      </c>
      <c r="M813" t="n" s="5">
        <v>6000.0</v>
      </c>
      <c r="N813" t="n" s="7">
        <v>44302.0</v>
      </c>
      <c r="O813" t="n" s="7">
        <v>44561.0</v>
      </c>
      <c r="P813" t="s" s="1">
        <v>3384</v>
      </c>
    </row>
    <row r="814" spans="1:16">
      <c r="A814" t="n" s="4">
        <v>810</v>
      </c>
      <c r="B814" s="2">
        <f>HYPERLINK("https://my.zakupki.prom.ua/remote/dispatcher/state_purchase_view/26213906", "UA-2021-04-28-002070-b")</f>
        <v/>
      </c>
      <c r="C814" t="s" s="2">
        <v>3102</v>
      </c>
      <c r="D814" s="2">
        <f>HYPERLINK("https://my.zakupki.prom.ua/remote/dispatcher/state_contracting_view/8717215", "UA-2021-04-28-002070-b-b1")</f>
        <v/>
      </c>
      <c r="E814" t="s" s="1">
        <v>390</v>
      </c>
      <c r="F814" t="s" s="1">
        <v>2379</v>
      </c>
      <c r="G814" t="s" s="1">
        <v>3365</v>
      </c>
      <c r="H814" t="s" s="1">
        <v>536</v>
      </c>
      <c r="I814" t="s" s="1">
        <v>2178</v>
      </c>
      <c r="J814" t="s" s="1">
        <v>3087</v>
      </c>
      <c r="K814" t="s" s="1">
        <v>558</v>
      </c>
      <c r="L814" t="s" s="1">
        <v>1087</v>
      </c>
      <c r="M814" t="n" s="5">
        <v>17410.0</v>
      </c>
      <c r="N814" t="n" s="7">
        <v>44314.0</v>
      </c>
      <c r="O814" t="n" s="7">
        <v>44561.0</v>
      </c>
      <c r="P814" t="s" s="1">
        <v>3384</v>
      </c>
    </row>
    <row r="815" spans="1:16">
      <c r="A815" t="n" s="4">
        <v>811</v>
      </c>
      <c r="B815" s="2">
        <f>HYPERLINK("https://my.zakupki.prom.ua/remote/dispatcher/state_purchase_view/25256245", "UA-2021-03-26-001267-a")</f>
        <v/>
      </c>
      <c r="C815" t="s" s="2">
        <v>3102</v>
      </c>
      <c r="D815" s="2">
        <f>HYPERLINK("https://my.zakupki.prom.ua/remote/dispatcher/state_contracting_view/8278278", "UA-2021-03-26-001267-a-a1")</f>
        <v/>
      </c>
      <c r="E815" t="s" s="1">
        <v>44</v>
      </c>
      <c r="F815" t="s" s="1">
        <v>2777</v>
      </c>
      <c r="G815" t="s" s="1">
        <v>2777</v>
      </c>
      <c r="H815" t="s" s="1">
        <v>928</v>
      </c>
      <c r="I815" t="s" s="1">
        <v>2178</v>
      </c>
      <c r="J815" t="s" s="1">
        <v>3309</v>
      </c>
      <c r="K815" t="s" s="1">
        <v>611</v>
      </c>
      <c r="L815" t="s" s="1">
        <v>3192</v>
      </c>
      <c r="M815" t="n" s="5">
        <v>6730.0</v>
      </c>
      <c r="N815" t="n" s="7">
        <v>44281.0</v>
      </c>
      <c r="O815" t="n" s="7">
        <v>44561.0</v>
      </c>
      <c r="P815" t="s" s="1">
        <v>3384</v>
      </c>
    </row>
    <row r="816" spans="1:16">
      <c r="A816" t="n" s="4">
        <v>812</v>
      </c>
      <c r="B816" s="2">
        <f>HYPERLINK("https://my.zakupki.prom.ua/remote/dispatcher/state_purchase_view/26454479", "UA-2021-05-12-006126-b")</f>
        <v/>
      </c>
      <c r="C816" t="s" s="2">
        <v>3102</v>
      </c>
      <c r="D816" s="2">
        <f>HYPERLINK("https://my.zakupki.prom.ua/remote/dispatcher/state_contracting_view/8837494", "UA-2021-05-12-006126-b-b1")</f>
        <v/>
      </c>
      <c r="E816" t="s" s="1">
        <v>1726</v>
      </c>
      <c r="F816" t="s" s="1">
        <v>2652</v>
      </c>
      <c r="G816" t="s" s="1">
        <v>3451</v>
      </c>
      <c r="H816" t="s" s="1">
        <v>774</v>
      </c>
      <c r="I816" t="s" s="1">
        <v>2178</v>
      </c>
      <c r="J816" t="s" s="1">
        <v>2165</v>
      </c>
      <c r="K816" t="s" s="1">
        <v>743</v>
      </c>
      <c r="L816" t="s" s="1">
        <v>1199</v>
      </c>
      <c r="M816" t="n" s="5">
        <v>150818.0</v>
      </c>
      <c r="N816" t="n" s="7">
        <v>44328.0</v>
      </c>
      <c r="O816" t="n" s="7">
        <v>44561.0</v>
      </c>
      <c r="P816" t="s" s="1">
        <v>3384</v>
      </c>
    </row>
    <row r="817" spans="1:16">
      <c r="A817" t="n" s="4">
        <v>813</v>
      </c>
      <c r="B817" s="2">
        <f>HYPERLINK("https://my.zakupki.prom.ua/remote/dispatcher/state_purchase_view/26418067", "UA-2021-05-11-005297-a")</f>
        <v/>
      </c>
      <c r="C817" t="s" s="2">
        <v>3102</v>
      </c>
      <c r="D817" s="2">
        <f>HYPERLINK("https://my.zakupki.prom.ua/remote/dispatcher/state_contracting_view/8815752", "UA-2021-05-11-005297-a-a1")</f>
        <v/>
      </c>
      <c r="E817" t="s" s="1">
        <v>371</v>
      </c>
      <c r="F817" t="s" s="1">
        <v>2604</v>
      </c>
      <c r="G817" t="s" s="1">
        <v>3361</v>
      </c>
      <c r="H817" t="s" s="1">
        <v>774</v>
      </c>
      <c r="I817" t="s" s="1">
        <v>2178</v>
      </c>
      <c r="J817" t="s" s="1">
        <v>3131</v>
      </c>
      <c r="K817" t="s" s="1">
        <v>658</v>
      </c>
      <c r="L817" t="s" s="1">
        <v>604</v>
      </c>
      <c r="M817" t="n" s="5">
        <v>178639.5</v>
      </c>
      <c r="N817" t="n" s="7">
        <v>44327.0</v>
      </c>
      <c r="O817" t="n" s="7">
        <v>44561.0</v>
      </c>
      <c r="P817" t="s" s="1">
        <v>3384</v>
      </c>
    </row>
    <row r="818" spans="1:16">
      <c r="A818" t="n" s="4">
        <v>814</v>
      </c>
      <c r="B818" s="2">
        <f>HYPERLINK("https://my.zakupki.prom.ua/remote/dispatcher/state_purchase_view/25546284", "UA-2021-04-06-000343-a")</f>
        <v/>
      </c>
      <c r="C818" t="s" s="2">
        <v>3102</v>
      </c>
      <c r="D818" s="2">
        <f>HYPERLINK("https://my.zakupki.prom.ua/remote/dispatcher/state_contracting_view/8397460", "UA-2021-04-06-000343-a-a1")</f>
        <v/>
      </c>
      <c r="E818" t="s" s="1">
        <v>1484</v>
      </c>
      <c r="F818" t="s" s="1">
        <v>2530</v>
      </c>
      <c r="G818" t="s" s="1">
        <v>3485</v>
      </c>
      <c r="H818" t="s" s="1">
        <v>759</v>
      </c>
      <c r="I818" t="s" s="1">
        <v>2178</v>
      </c>
      <c r="J818" t="s" s="1">
        <v>3258</v>
      </c>
      <c r="K818" t="s" s="1">
        <v>776</v>
      </c>
      <c r="L818" t="s" s="1">
        <v>182</v>
      </c>
      <c r="M818" t="n" s="5">
        <v>84207.0</v>
      </c>
      <c r="N818" t="n" s="7">
        <v>44291.0</v>
      </c>
      <c r="O818" t="n" s="7">
        <v>44561.0</v>
      </c>
      <c r="P818" t="s" s="1">
        <v>3384</v>
      </c>
    </row>
    <row r="819" spans="1:16">
      <c r="A819" t="n" s="4">
        <v>815</v>
      </c>
      <c r="B819" s="2">
        <f>HYPERLINK("https://my.zakupki.prom.ua/remote/dispatcher/state_purchase_view/25486157", "UA-2021-04-02-003364-b")</f>
        <v/>
      </c>
      <c r="C819" t="s" s="2">
        <v>3102</v>
      </c>
      <c r="D819" s="2">
        <f>HYPERLINK("https://my.zakupki.prom.ua/remote/dispatcher/state_contracting_view/8371263", "UA-2021-04-02-003364-b-b1")</f>
        <v/>
      </c>
      <c r="E819" t="s" s="1">
        <v>101</v>
      </c>
      <c r="F819" t="s" s="1">
        <v>2343</v>
      </c>
      <c r="G819" t="s" s="1">
        <v>3444</v>
      </c>
      <c r="H819" t="s" s="1">
        <v>378</v>
      </c>
      <c r="I819" t="s" s="1">
        <v>2178</v>
      </c>
      <c r="J819" t="s" s="1">
        <v>3356</v>
      </c>
      <c r="K819" t="s" s="1">
        <v>814</v>
      </c>
      <c r="L819" t="s" s="1">
        <v>721</v>
      </c>
      <c r="M819" t="n" s="5">
        <v>20260.0</v>
      </c>
      <c r="N819" t="n" s="7">
        <v>44288.0</v>
      </c>
      <c r="O819" t="n" s="7">
        <v>44561.0</v>
      </c>
      <c r="P819" t="s" s="1">
        <v>3384</v>
      </c>
    </row>
    <row r="820" spans="1:16">
      <c r="A820" t="n" s="4">
        <v>816</v>
      </c>
      <c r="B820" s="2">
        <f>HYPERLINK("https://my.zakupki.prom.ua/remote/dispatcher/state_purchase_view/27814362", "UA-2021-06-29-002941-c")</f>
        <v/>
      </c>
      <c r="C820" t="s" s="2">
        <v>3102</v>
      </c>
      <c r="D820" s="2">
        <f>HYPERLINK("https://my.zakupki.prom.ua/remote/dispatcher/state_contracting_view/9478921", "UA-2021-06-29-002941-c-c1")</f>
        <v/>
      </c>
      <c r="E820" t="s" s="1">
        <v>1472</v>
      </c>
      <c r="F820" t="s" s="1">
        <v>2467</v>
      </c>
      <c r="G820" t="s" s="1">
        <v>2117</v>
      </c>
      <c r="H820" t="s" s="1">
        <v>725</v>
      </c>
      <c r="I820" t="s" s="1">
        <v>2178</v>
      </c>
      <c r="J820" t="s" s="1">
        <v>3268</v>
      </c>
      <c r="K820" t="s" s="1">
        <v>984</v>
      </c>
      <c r="L820" t="s" s="1">
        <v>128</v>
      </c>
      <c r="M820" t="n" s="5">
        <v>49708.59</v>
      </c>
      <c r="N820" t="n" s="7">
        <v>44376.0</v>
      </c>
      <c r="O820" t="n" s="7">
        <v>44561.0</v>
      </c>
      <c r="P820" t="s" s="1">
        <v>3384</v>
      </c>
    </row>
    <row r="821" spans="1:16">
      <c r="A821" t="n" s="4">
        <v>817</v>
      </c>
      <c r="B821" s="2">
        <f>HYPERLINK("https://my.zakupki.prom.ua/remote/dispatcher/state_purchase_view/29086068", "UA-2021-08-17-005166-a")</f>
        <v/>
      </c>
      <c r="C821" t="s" s="2">
        <v>3102</v>
      </c>
      <c r="D821" s="2">
        <f>HYPERLINK("https://my.zakupki.prom.ua/remote/dispatcher/state_contracting_view/10075355", "UA-2021-08-17-005166-a-a1")</f>
        <v/>
      </c>
      <c r="E821" t="s" s="1">
        <v>1637</v>
      </c>
      <c r="F821" t="s" s="1">
        <v>2946</v>
      </c>
      <c r="G821" t="s" s="1">
        <v>2946</v>
      </c>
      <c r="H821" t="s" s="1">
        <v>1442</v>
      </c>
      <c r="I821" t="s" s="1">
        <v>2178</v>
      </c>
      <c r="J821" t="s" s="1">
        <v>2188</v>
      </c>
      <c r="K821" t="s" s="1">
        <v>53</v>
      </c>
      <c r="L821" t="s" s="1">
        <v>1366</v>
      </c>
      <c r="M821" t="n" s="5">
        <v>29000.0</v>
      </c>
      <c r="N821" t="n" s="7">
        <v>44425.0</v>
      </c>
      <c r="O821" t="n" s="7">
        <v>44561.0</v>
      </c>
      <c r="P821" t="s" s="1">
        <v>3384</v>
      </c>
    </row>
    <row r="822" spans="1:16">
      <c r="A822" t="n" s="4">
        <v>818</v>
      </c>
      <c r="B822" s="2">
        <f>HYPERLINK("https://my.zakupki.prom.ua/remote/dispatcher/state_purchase_view/28545795", "UA-2021-07-27-006840-b")</f>
        <v/>
      </c>
      <c r="C822" t="s" s="2">
        <v>3102</v>
      </c>
      <c r="D822" s="2">
        <f>HYPERLINK("https://my.zakupki.prom.ua/remote/dispatcher/state_contracting_view/9824677", "UA-2021-07-27-006840-b-b1")</f>
        <v/>
      </c>
      <c r="E822" t="s" s="1">
        <v>1765</v>
      </c>
      <c r="F822" t="s" s="1">
        <v>2977</v>
      </c>
      <c r="G822" t="s" s="1">
        <v>3464</v>
      </c>
      <c r="H822" t="s" s="1">
        <v>1461</v>
      </c>
      <c r="I822" t="s" s="1">
        <v>2178</v>
      </c>
      <c r="J822" t="s" s="1">
        <v>3281</v>
      </c>
      <c r="K822" t="s" s="1">
        <v>877</v>
      </c>
      <c r="L822" t="s" s="1">
        <v>3080</v>
      </c>
      <c r="M822" t="n" s="5">
        <v>3200.0</v>
      </c>
      <c r="N822" t="n" s="7">
        <v>44404.0</v>
      </c>
      <c r="O822" t="n" s="7">
        <v>44561.0</v>
      </c>
      <c r="P822" t="s" s="1">
        <v>3384</v>
      </c>
    </row>
    <row r="823" spans="1:16">
      <c r="A823" t="n" s="4">
        <v>819</v>
      </c>
      <c r="B823" s="2">
        <f>HYPERLINK("https://my.zakupki.prom.ua/remote/dispatcher/state_purchase_view/27733942", "UA-2021-06-24-003133-c")</f>
        <v/>
      </c>
      <c r="C823" t="s" s="2">
        <v>3102</v>
      </c>
      <c r="D823" s="2">
        <f>HYPERLINK("https://my.zakupki.prom.ua/remote/dispatcher/state_contracting_view/9440353", "UA-2021-06-24-003133-c-c1")</f>
        <v/>
      </c>
      <c r="E823" t="s" s="1">
        <v>59</v>
      </c>
      <c r="F823" t="s" s="1">
        <v>2918</v>
      </c>
      <c r="G823" t="s" s="1">
        <v>2918</v>
      </c>
      <c r="H823" t="s" s="1">
        <v>1173</v>
      </c>
      <c r="I823" t="s" s="1">
        <v>2178</v>
      </c>
      <c r="J823" t="s" s="1">
        <v>3089</v>
      </c>
      <c r="K823" t="s" s="1">
        <v>654</v>
      </c>
      <c r="L823" t="s" s="1">
        <v>1277</v>
      </c>
      <c r="M823" t="n" s="5">
        <v>900.0</v>
      </c>
      <c r="N823" t="n" s="7">
        <v>44371.0</v>
      </c>
      <c r="O823" t="n" s="7">
        <v>44561.0</v>
      </c>
      <c r="P823" t="s" s="1">
        <v>3384</v>
      </c>
    </row>
    <row r="824" spans="1:16">
      <c r="A824" t="n" s="4">
        <v>820</v>
      </c>
      <c r="B824" s="2">
        <f>HYPERLINK("https://my.zakupki.prom.ua/remote/dispatcher/state_purchase_view/31886649", "UA-2021-11-17-006661-a")</f>
        <v/>
      </c>
      <c r="C824" t="s" s="2">
        <v>3102</v>
      </c>
      <c r="D824" s="2">
        <f>HYPERLINK("https://my.zakupki.prom.ua/remote/dispatcher/state_contracting_view/11368323", "UA-2021-11-17-006661-a-a1")</f>
        <v/>
      </c>
      <c r="E824" t="s" s="1">
        <v>1393</v>
      </c>
      <c r="F824" t="s" s="1">
        <v>2399</v>
      </c>
      <c r="G824" t="s" s="1">
        <v>2399</v>
      </c>
      <c r="H824" t="s" s="1">
        <v>550</v>
      </c>
      <c r="I824" t="s" s="1">
        <v>2178</v>
      </c>
      <c r="J824" t="s" s="1">
        <v>2141</v>
      </c>
      <c r="K824" t="s" s="1">
        <v>438</v>
      </c>
      <c r="L824" t="s" s="1">
        <v>1591</v>
      </c>
      <c r="M824" t="n" s="5">
        <v>311.0</v>
      </c>
      <c r="N824" t="n" s="7">
        <v>44517.0</v>
      </c>
      <c r="O824" t="n" s="7">
        <v>44561.0</v>
      </c>
      <c r="P824" t="s" s="1">
        <v>3384</v>
      </c>
    </row>
    <row r="825" spans="1:16">
      <c r="A825" t="n" s="4">
        <v>821</v>
      </c>
      <c r="B825" s="2">
        <f>HYPERLINK("https://my.zakupki.prom.ua/remote/dispatcher/state_purchase_view/31885767", "UA-2021-11-17-006458-a")</f>
        <v/>
      </c>
      <c r="C825" t="s" s="2">
        <v>3102</v>
      </c>
      <c r="D825" s="2">
        <f>HYPERLINK("https://my.zakupki.prom.ua/remote/dispatcher/state_contracting_view/11367630", "UA-2021-11-17-006458-a-a1")</f>
        <v/>
      </c>
      <c r="E825" t="s" s="1">
        <v>1869</v>
      </c>
      <c r="F825" t="s" s="1">
        <v>2859</v>
      </c>
      <c r="G825" t="s" s="1">
        <v>2859</v>
      </c>
      <c r="H825" t="s" s="1">
        <v>1076</v>
      </c>
      <c r="I825" t="s" s="1">
        <v>2178</v>
      </c>
      <c r="J825" t="s" s="1">
        <v>2141</v>
      </c>
      <c r="K825" t="s" s="1">
        <v>438</v>
      </c>
      <c r="L825" t="s" s="1">
        <v>1589</v>
      </c>
      <c r="M825" t="n" s="5">
        <v>395.0</v>
      </c>
      <c r="N825" t="n" s="7">
        <v>44517.0</v>
      </c>
      <c r="O825" t="n" s="7">
        <v>44561.0</v>
      </c>
      <c r="P825" t="s" s="1">
        <v>3384</v>
      </c>
    </row>
    <row r="826" spans="1:16">
      <c r="A826" t="n" s="4">
        <v>822</v>
      </c>
      <c r="B826" s="2">
        <f>HYPERLINK("https://my.zakupki.prom.ua/remote/dispatcher/state_purchase_view/33301339", "UA-2021-12-17-009651-c")</f>
        <v/>
      </c>
      <c r="C826" t="s" s="2">
        <v>3102</v>
      </c>
      <c r="D826" s="2">
        <f>HYPERLINK("https://my.zakupki.prom.ua/remote/dispatcher/state_contracting_view/12029611", "UA-2021-12-17-009651-c-c1")</f>
        <v/>
      </c>
      <c r="E826" t="s" s="1">
        <v>1594</v>
      </c>
      <c r="F826" t="s" s="1">
        <v>2734</v>
      </c>
      <c r="G826" t="s" s="1">
        <v>3</v>
      </c>
      <c r="H826" t="s" s="1">
        <v>871</v>
      </c>
      <c r="I826" t="s" s="1">
        <v>2178</v>
      </c>
      <c r="J826" t="s" s="1">
        <v>2148</v>
      </c>
      <c r="K826" t="s" s="1">
        <v>678</v>
      </c>
      <c r="L826" t="s" s="1">
        <v>1649</v>
      </c>
      <c r="M826" t="n" s="5">
        <v>323.0</v>
      </c>
      <c r="N826" t="n" s="7">
        <v>44547.0</v>
      </c>
      <c r="O826" t="n" s="7">
        <v>44561.0</v>
      </c>
      <c r="P826" t="s" s="1">
        <v>3384</v>
      </c>
    </row>
    <row r="827" spans="1:16">
      <c r="A827" t="n" s="4">
        <v>823</v>
      </c>
      <c r="B827" s="2">
        <f>HYPERLINK("https://my.zakupki.prom.ua/remote/dispatcher/state_purchase_view/30052407", "UA-2021-09-21-003604-b")</f>
        <v/>
      </c>
      <c r="C827" t="s" s="2">
        <v>3102</v>
      </c>
      <c r="D827" s="2">
        <f>HYPERLINK("https://my.zakupki.prom.ua/remote/dispatcher/state_contracting_view/10544095", "UA-2021-09-21-003604-b-b1")</f>
        <v/>
      </c>
      <c r="E827" t="s" s="1">
        <v>395</v>
      </c>
      <c r="F827" t="s" s="1">
        <v>2341</v>
      </c>
      <c r="G827" t="s" s="1">
        <v>2341</v>
      </c>
      <c r="H827" t="s" s="1">
        <v>377</v>
      </c>
      <c r="I827" t="s" s="1">
        <v>2178</v>
      </c>
      <c r="J827" t="s" s="1">
        <v>2151</v>
      </c>
      <c r="K827" t="s" s="1">
        <v>666</v>
      </c>
      <c r="L827" t="s" s="1">
        <v>1454</v>
      </c>
      <c r="M827" t="n" s="5">
        <v>240.0</v>
      </c>
      <c r="N827" t="n" s="7">
        <v>44460.0</v>
      </c>
      <c r="O827" t="n" s="7">
        <v>44561.0</v>
      </c>
      <c r="P827" t="s" s="1">
        <v>3384</v>
      </c>
    </row>
    <row r="828" spans="1:16">
      <c r="A828" t="n" s="4">
        <v>824</v>
      </c>
      <c r="B828" s="2">
        <f>HYPERLINK("https://my.zakupki.prom.ua/remote/dispatcher/state_purchase_view/29987049", "UA-2021-09-17-010928-b")</f>
        <v/>
      </c>
      <c r="C828" t="s" s="2">
        <v>3102</v>
      </c>
      <c r="D828" s="2">
        <f>HYPERLINK("https://my.zakupki.prom.ua/remote/dispatcher/state_contracting_view/10494338", "UA-2021-09-17-010928-b-b1")</f>
        <v/>
      </c>
      <c r="E828" t="s" s="1">
        <v>57</v>
      </c>
      <c r="F828" t="s" s="1">
        <v>3024</v>
      </c>
      <c r="G828" t="s" s="1">
        <v>3466</v>
      </c>
      <c r="H828" t="s" s="1">
        <v>1632</v>
      </c>
      <c r="I828" t="s" s="1">
        <v>2178</v>
      </c>
      <c r="J828" t="s" s="1">
        <v>3301</v>
      </c>
      <c r="K828" t="s" s="1">
        <v>899</v>
      </c>
      <c r="L828" t="s" s="1">
        <v>1067</v>
      </c>
      <c r="M828" t="n" s="5">
        <v>4861.0</v>
      </c>
      <c r="N828" t="n" s="7">
        <v>44456.0</v>
      </c>
      <c r="O828" t="n" s="7">
        <v>44561.0</v>
      </c>
      <c r="P828" t="s" s="1">
        <v>3384</v>
      </c>
    </row>
    <row r="829" spans="1:16">
      <c r="A829" t="n" s="4">
        <v>825</v>
      </c>
      <c r="B829" s="2">
        <f>HYPERLINK("https://my.zakupki.prom.ua/remote/dispatcher/state_purchase_view/27779282", "UA-2021-06-25-004137-c")</f>
        <v/>
      </c>
      <c r="C829" t="s" s="2">
        <v>3102</v>
      </c>
      <c r="D829" s="2">
        <f>HYPERLINK("https://my.zakupki.prom.ua/remote/dispatcher/state_contracting_view/9464356", "UA-2021-06-25-004137-c-c1")</f>
        <v/>
      </c>
      <c r="E829" t="s" s="1">
        <v>1954</v>
      </c>
      <c r="F829" t="s" s="1">
        <v>2247</v>
      </c>
      <c r="G829" t="s" s="1">
        <v>2247</v>
      </c>
      <c r="H829" t="s" s="1">
        <v>232</v>
      </c>
      <c r="I829" t="s" s="1">
        <v>2178</v>
      </c>
      <c r="J829" t="s" s="1">
        <v>3112</v>
      </c>
      <c r="K829" t="s" s="1">
        <v>802</v>
      </c>
      <c r="L829" t="s" s="1">
        <v>556</v>
      </c>
      <c r="M829" t="n" s="5">
        <v>85.0</v>
      </c>
      <c r="N829" t="n" s="7">
        <v>44372.0</v>
      </c>
      <c r="O829" t="n" s="7">
        <v>44561.0</v>
      </c>
      <c r="P829" t="s" s="1">
        <v>3384</v>
      </c>
    </row>
    <row r="830" spans="1:16">
      <c r="A830" t="n" s="4">
        <v>826</v>
      </c>
      <c r="B830" s="2">
        <f>HYPERLINK("https://my.zakupki.prom.ua/remote/dispatcher/state_purchase_view/27777315", "UA-2021-06-25-003550-c")</f>
        <v/>
      </c>
      <c r="C830" t="s" s="2">
        <v>3102</v>
      </c>
      <c r="D830" s="2">
        <f>HYPERLINK("https://my.zakupki.prom.ua/remote/dispatcher/state_contracting_view/9464957", "UA-2021-06-25-003550-c-c1")</f>
        <v/>
      </c>
      <c r="E830" t="s" s="1">
        <v>1157</v>
      </c>
      <c r="F830" t="s" s="1">
        <v>2867</v>
      </c>
      <c r="G830" t="s" s="1">
        <v>2867</v>
      </c>
      <c r="H830" t="s" s="1">
        <v>1077</v>
      </c>
      <c r="I830" t="s" s="1">
        <v>2178</v>
      </c>
      <c r="J830" t="s" s="1">
        <v>3112</v>
      </c>
      <c r="K830" t="s" s="1">
        <v>802</v>
      </c>
      <c r="L830" t="s" s="1">
        <v>368</v>
      </c>
      <c r="M830" t="n" s="5">
        <v>2401.2</v>
      </c>
      <c r="N830" t="n" s="7">
        <v>44372.0</v>
      </c>
      <c r="O830" t="n" s="7">
        <v>44561.0</v>
      </c>
      <c r="P830" t="s" s="1">
        <v>3384</v>
      </c>
    </row>
    <row r="831" spans="1:16">
      <c r="A831" t="n" s="4">
        <v>827</v>
      </c>
      <c r="B831" s="2">
        <f>HYPERLINK("https://my.zakupki.prom.ua/remote/dispatcher/state_purchase_view/27776583", "UA-2021-06-25-003334-c")</f>
        <v/>
      </c>
      <c r="C831" t="s" s="2">
        <v>3102</v>
      </c>
      <c r="D831" s="2">
        <f>HYPERLINK("https://my.zakupki.prom.ua/remote/dispatcher/state_contracting_view/9465309", "UA-2021-06-25-003334-c-c1")</f>
        <v/>
      </c>
      <c r="E831" t="s" s="1">
        <v>946</v>
      </c>
      <c r="F831" t="s" s="1">
        <v>2831</v>
      </c>
      <c r="G831" t="s" s="1">
        <v>2831</v>
      </c>
      <c r="H831" t="s" s="1">
        <v>1062</v>
      </c>
      <c r="I831" t="s" s="1">
        <v>2178</v>
      </c>
      <c r="J831" t="s" s="1">
        <v>3112</v>
      </c>
      <c r="K831" t="s" s="1">
        <v>802</v>
      </c>
      <c r="L831" t="s" s="1">
        <v>312</v>
      </c>
      <c r="M831" t="n" s="5">
        <v>15.0</v>
      </c>
      <c r="N831" t="n" s="7">
        <v>44372.0</v>
      </c>
      <c r="O831" t="n" s="7">
        <v>44561.0</v>
      </c>
      <c r="P831" t="s" s="1">
        <v>3384</v>
      </c>
    </row>
    <row r="832" spans="1:16">
      <c r="A832" t="n" s="4">
        <v>828</v>
      </c>
      <c r="B832" s="2">
        <f>HYPERLINK("https://my.zakupki.prom.ua/remote/dispatcher/state_purchase_view/27735706", "UA-2021-06-24-003636-c")</f>
        <v/>
      </c>
      <c r="C832" t="s" s="2">
        <v>3102</v>
      </c>
      <c r="D832" s="2">
        <f>HYPERLINK("https://my.zakupki.prom.ua/remote/dispatcher/state_contracting_view/9440803", "UA-2021-06-24-003636-c-c1")</f>
        <v/>
      </c>
      <c r="E832" t="s" s="1">
        <v>1414</v>
      </c>
      <c r="F832" t="s" s="1">
        <v>2472</v>
      </c>
      <c r="G832" t="s" s="1">
        <v>2472</v>
      </c>
      <c r="H832" t="s" s="1">
        <v>737</v>
      </c>
      <c r="I832" t="s" s="1">
        <v>2178</v>
      </c>
      <c r="J832" t="s" s="1">
        <v>3298</v>
      </c>
      <c r="K832" t="s" s="1">
        <v>1057</v>
      </c>
      <c r="L832" t="s" s="1">
        <v>1281</v>
      </c>
      <c r="M832" t="n" s="5">
        <v>1390.0</v>
      </c>
      <c r="N832" t="n" s="7">
        <v>44371.0</v>
      </c>
      <c r="O832" t="n" s="7">
        <v>44561.0</v>
      </c>
      <c r="P832" t="s" s="1">
        <v>3384</v>
      </c>
    </row>
    <row r="833" spans="1:16">
      <c r="A833" t="n" s="4">
        <v>829</v>
      </c>
      <c r="B833" s="2">
        <f>HYPERLINK("https://my.zakupki.prom.ua/remote/dispatcher/state_purchase_view/24255630", "UA-2021-02-22-010053-b")</f>
        <v/>
      </c>
      <c r="C833" t="s" s="2">
        <v>3102</v>
      </c>
      <c r="D833" s="2">
        <f>HYPERLINK("https://my.zakupki.prom.ua/remote/dispatcher/state_contracting_view/7785288", "UA-2021-02-22-010053-b-b1")</f>
        <v/>
      </c>
      <c r="E833" t="s" s="1">
        <v>1976</v>
      </c>
      <c r="F833" t="s" s="1">
        <v>2513</v>
      </c>
      <c r="G833" t="s" s="1">
        <v>2513</v>
      </c>
      <c r="H833" t="s" s="1">
        <v>759</v>
      </c>
      <c r="I833" t="s" s="1">
        <v>2178</v>
      </c>
      <c r="J833" t="s" s="1">
        <v>3258</v>
      </c>
      <c r="K833" t="s" s="1">
        <v>776</v>
      </c>
      <c r="L833" t="s" s="1">
        <v>1123</v>
      </c>
      <c r="M833" t="n" s="5">
        <v>3000.0</v>
      </c>
      <c r="N833" t="n" s="7">
        <v>44249.0</v>
      </c>
      <c r="O833" t="n" s="7">
        <v>44561.0</v>
      </c>
      <c r="P833" t="s" s="1">
        <v>3384</v>
      </c>
    </row>
    <row r="834" spans="1:16">
      <c r="A834" t="n" s="4">
        <v>830</v>
      </c>
      <c r="B834" s="2">
        <f>HYPERLINK("https://my.zakupki.prom.ua/remote/dispatcher/state_purchase_view/28569960", "UA-2021-07-28-003177-b")</f>
        <v/>
      </c>
      <c r="C834" t="s" s="2">
        <v>3102</v>
      </c>
      <c r="D834" s="2">
        <f>HYPERLINK("https://my.zakupki.prom.ua/remote/dispatcher/state_contracting_view/9835891", "UA-2021-07-28-003177-b-b1")</f>
        <v/>
      </c>
      <c r="E834" t="s" s="1">
        <v>2003</v>
      </c>
      <c r="F834" t="s" s="1">
        <v>2648</v>
      </c>
      <c r="G834" t="s" s="1">
        <v>2648</v>
      </c>
      <c r="H834" t="s" s="1">
        <v>774</v>
      </c>
      <c r="I834" t="s" s="1">
        <v>2178</v>
      </c>
      <c r="J834" t="s" s="1">
        <v>3133</v>
      </c>
      <c r="K834" t="s" s="1">
        <v>658</v>
      </c>
      <c r="L834" t="s" s="1">
        <v>854</v>
      </c>
      <c r="M834" t="n" s="5">
        <v>320.0</v>
      </c>
      <c r="N834" t="n" s="7">
        <v>44404.0</v>
      </c>
      <c r="O834" t="n" s="7">
        <v>44561.0</v>
      </c>
      <c r="P834" t="s" s="1">
        <v>3384</v>
      </c>
    </row>
    <row r="835" spans="1:16">
      <c r="A835" t="n" s="4">
        <v>831</v>
      </c>
      <c r="B835" s="2">
        <f>HYPERLINK("https://my.zakupki.prom.ua/remote/dispatcher/state_purchase_view/27775964", "UA-2021-06-25-003164-c")</f>
        <v/>
      </c>
      <c r="C835" t="s" s="2">
        <v>3102</v>
      </c>
      <c r="D835" s="2">
        <f>HYPERLINK("https://my.zakupki.prom.ua/remote/dispatcher/state_contracting_view/9465105", "UA-2021-06-25-003164-c-c1")</f>
        <v/>
      </c>
      <c r="E835" t="s" s="1">
        <v>628</v>
      </c>
      <c r="F835" t="s" s="1">
        <v>2892</v>
      </c>
      <c r="G835" t="s" s="1">
        <v>2892</v>
      </c>
      <c r="H835" t="s" s="1">
        <v>1084</v>
      </c>
      <c r="I835" t="s" s="1">
        <v>2178</v>
      </c>
      <c r="J835" t="s" s="1">
        <v>3112</v>
      </c>
      <c r="K835" t="s" s="1">
        <v>802</v>
      </c>
      <c r="L835" t="s" s="1">
        <v>239</v>
      </c>
      <c r="M835" t="n" s="5">
        <v>58.5</v>
      </c>
      <c r="N835" t="n" s="7">
        <v>44372.0</v>
      </c>
      <c r="O835" t="n" s="7">
        <v>44561.0</v>
      </c>
      <c r="P835" t="s" s="1">
        <v>3384</v>
      </c>
    </row>
    <row r="836" spans="1:16">
      <c r="A836" t="n" s="4">
        <v>832</v>
      </c>
      <c r="B836" s="2">
        <f>HYPERLINK("https://my.zakupki.prom.ua/remote/dispatcher/state_purchase_view/23362368", "UA-2021-01-28-001311-b")</f>
        <v/>
      </c>
      <c r="C836" t="s" s="2">
        <v>3102</v>
      </c>
      <c r="D836" s="2">
        <f>HYPERLINK("https://my.zakupki.prom.ua/remote/dispatcher/state_contracting_view/7379628", "UA-2021-01-28-001311-b-b1")</f>
        <v/>
      </c>
      <c r="E836" t="s" s="1">
        <v>282</v>
      </c>
      <c r="F836" t="s" s="1">
        <v>2713</v>
      </c>
      <c r="G836" t="s" s="1">
        <v>3363</v>
      </c>
      <c r="H836" t="s" s="1">
        <v>782</v>
      </c>
      <c r="I836" t="s" s="1">
        <v>2178</v>
      </c>
      <c r="J836" t="s" s="1">
        <v>3306</v>
      </c>
      <c r="K836" t="s" s="1">
        <v>996</v>
      </c>
      <c r="L836" t="s" s="1">
        <v>3074</v>
      </c>
      <c r="M836" t="n" s="5">
        <v>16245.0</v>
      </c>
      <c r="N836" t="n" s="7">
        <v>44224.0</v>
      </c>
      <c r="O836" t="n" s="7">
        <v>44561.0</v>
      </c>
      <c r="P836" t="s" s="1">
        <v>3384</v>
      </c>
    </row>
    <row r="837" spans="1:16">
      <c r="A837" t="n" s="4">
        <v>833</v>
      </c>
      <c r="B837" s="2">
        <f>HYPERLINK("https://my.zakupki.prom.ua/remote/dispatcher/state_purchase_view/22931718", "UA-2021-01-13-001404-a")</f>
        <v/>
      </c>
      <c r="C837" t="s" s="2">
        <v>3102</v>
      </c>
      <c r="D837" s="2">
        <f>HYPERLINK("https://my.zakupki.prom.ua/remote/dispatcher/state_contracting_view/7213922", "UA-2021-01-13-001404-a-a1")</f>
        <v/>
      </c>
      <c r="E837" t="s" s="1">
        <v>1524</v>
      </c>
      <c r="F837" t="s" s="1">
        <v>2800</v>
      </c>
      <c r="G837" t="s" s="1">
        <v>2800</v>
      </c>
      <c r="H837" t="s" s="1">
        <v>1008</v>
      </c>
      <c r="I837" t="s" s="1">
        <v>2178</v>
      </c>
      <c r="J837" t="s" s="1">
        <v>3112</v>
      </c>
      <c r="K837" t="s" s="1">
        <v>802</v>
      </c>
      <c r="L837" t="s" s="1">
        <v>143</v>
      </c>
      <c r="M837" t="n" s="5">
        <v>4377.75</v>
      </c>
      <c r="N837" t="n" s="7">
        <v>44209.0</v>
      </c>
      <c r="O837" t="n" s="7">
        <v>44561.0</v>
      </c>
      <c r="P837" t="s" s="1">
        <v>3384</v>
      </c>
    </row>
    <row r="838" spans="1:16">
      <c r="A838" t="n" s="4">
        <v>834</v>
      </c>
      <c r="B838" s="2">
        <f>HYPERLINK("https://my.zakupki.prom.ua/remote/dispatcher/state_purchase_view/22930528", "UA-2021-01-13-000965-a")</f>
        <v/>
      </c>
      <c r="C838" t="s" s="2">
        <v>3102</v>
      </c>
      <c r="D838" s="2">
        <f>HYPERLINK("https://my.zakupki.prom.ua/remote/dispatcher/state_contracting_view/7213433", "UA-2021-01-13-000965-a-a1")</f>
        <v/>
      </c>
      <c r="E838" t="s" s="1">
        <v>633</v>
      </c>
      <c r="F838" t="s" s="1">
        <v>2244</v>
      </c>
      <c r="G838" t="s" s="1">
        <v>2244</v>
      </c>
      <c r="H838" t="s" s="1">
        <v>232</v>
      </c>
      <c r="I838" t="s" s="1">
        <v>2178</v>
      </c>
      <c r="J838" t="s" s="1">
        <v>3112</v>
      </c>
      <c r="K838" t="s" s="1">
        <v>802</v>
      </c>
      <c r="L838" t="s" s="1">
        <v>1309</v>
      </c>
      <c r="M838" t="n" s="5">
        <v>572.0</v>
      </c>
      <c r="N838" t="n" s="7">
        <v>44209.0</v>
      </c>
      <c r="O838" t="n" s="7">
        <v>44561.0</v>
      </c>
      <c r="P838" t="s" s="1">
        <v>3384</v>
      </c>
    </row>
    <row r="839" spans="1:16">
      <c r="A839" t="n" s="4">
        <v>835</v>
      </c>
      <c r="B839" s="2">
        <f>HYPERLINK("https://my.zakupki.prom.ua/remote/dispatcher/state_purchase_view/24352410", "UA-2021-02-24-007880-b")</f>
        <v/>
      </c>
      <c r="C839" t="s" s="2">
        <v>3102</v>
      </c>
      <c r="D839" s="2">
        <f>HYPERLINK("https://my.zakupki.prom.ua/remote/dispatcher/state_contracting_view/7827835", "UA-2021-02-24-007880-b-b1")</f>
        <v/>
      </c>
      <c r="E839" t="s" s="1">
        <v>1832</v>
      </c>
      <c r="F839" t="s" s="1">
        <v>2830</v>
      </c>
      <c r="G839" t="s" s="1">
        <v>2830</v>
      </c>
      <c r="H839" t="s" s="1">
        <v>1062</v>
      </c>
      <c r="I839" t="s" s="1">
        <v>2178</v>
      </c>
      <c r="J839" t="s" s="1">
        <v>2149</v>
      </c>
      <c r="K839" t="s" s="1">
        <v>653</v>
      </c>
      <c r="L839" t="s" s="1">
        <v>199</v>
      </c>
      <c r="M839" t="n" s="5">
        <v>1600.0</v>
      </c>
      <c r="N839" t="n" s="7">
        <v>44251.0</v>
      </c>
      <c r="O839" t="n" s="7">
        <v>44561.0</v>
      </c>
      <c r="P839" t="s" s="1">
        <v>3384</v>
      </c>
    </row>
    <row r="840" spans="1:16">
      <c r="A840" t="n" s="4">
        <v>836</v>
      </c>
      <c r="B840" s="2">
        <f>HYPERLINK("https://my.zakupki.prom.ua/remote/dispatcher/state_purchase_view/24056286", "UA-2021-02-16-007369-a")</f>
        <v/>
      </c>
      <c r="C840" t="s" s="2">
        <v>3102</v>
      </c>
      <c r="D840" s="2">
        <f>HYPERLINK("https://my.zakupki.prom.ua/remote/dispatcher/state_contracting_view/7688988", "UA-2021-02-16-007369-a-a1")</f>
        <v/>
      </c>
      <c r="E840" t="s" s="1">
        <v>1867</v>
      </c>
      <c r="F840" t="s" s="1">
        <v>2661</v>
      </c>
      <c r="G840" t="s" s="1">
        <v>3468</v>
      </c>
      <c r="H840" t="s" s="1">
        <v>774</v>
      </c>
      <c r="I840" t="s" s="1">
        <v>2178</v>
      </c>
      <c r="J840" t="s" s="1">
        <v>3257</v>
      </c>
      <c r="K840" t="s" s="1">
        <v>912</v>
      </c>
      <c r="L840" t="s" s="1">
        <v>137</v>
      </c>
      <c r="M840" t="n" s="5">
        <v>20000.0</v>
      </c>
      <c r="N840" t="n" s="7">
        <v>44243.0</v>
      </c>
      <c r="O840" t="n" s="7">
        <v>44561.0</v>
      </c>
      <c r="P840" t="s" s="1">
        <v>3384</v>
      </c>
    </row>
    <row r="841" spans="1:16">
      <c r="A841" t="n" s="4">
        <v>837</v>
      </c>
      <c r="B841" s="2">
        <f>HYPERLINK("https://my.zakupki.prom.ua/remote/dispatcher/state_purchase_view/25062505", "UA-2021-03-19-001632-b")</f>
        <v/>
      </c>
      <c r="C841" t="s" s="2">
        <v>3102</v>
      </c>
      <c r="D841" s="2">
        <f>HYPERLINK("https://my.zakupki.prom.ua/remote/dispatcher/state_contracting_view/8166768", "UA-2021-03-19-001632-b-b1")</f>
        <v/>
      </c>
      <c r="E841" t="s" s="1">
        <v>685</v>
      </c>
      <c r="F841" t="s" s="1">
        <v>2277</v>
      </c>
      <c r="G841" t="s" s="1">
        <v>2277</v>
      </c>
      <c r="H841" t="s" s="1">
        <v>262</v>
      </c>
      <c r="I841" t="s" s="1">
        <v>2178</v>
      </c>
      <c r="J841" t="s" s="1">
        <v>3356</v>
      </c>
      <c r="K841" t="s" s="1">
        <v>814</v>
      </c>
      <c r="L841" t="s" s="1">
        <v>514</v>
      </c>
      <c r="M841" t="n" s="5">
        <v>3000.0</v>
      </c>
      <c r="N841" t="n" s="7">
        <v>44274.0</v>
      </c>
      <c r="O841" t="n" s="7">
        <v>44561.0</v>
      </c>
      <c r="P841" t="s" s="1">
        <v>3384</v>
      </c>
    </row>
    <row r="842" spans="1:16">
      <c r="A842" t="n" s="4">
        <v>838</v>
      </c>
      <c r="B842" s="2">
        <f>HYPERLINK("https://my.zakupki.prom.ua/remote/dispatcher/state_purchase_view/25020739", "UA-2021-03-18-000923-b")</f>
        <v/>
      </c>
      <c r="C842" t="s" s="2">
        <v>3102</v>
      </c>
      <c r="D842" s="2">
        <f>HYPERLINK("https://my.zakupki.prom.ua/remote/dispatcher/state_contracting_view/8147239", "UA-2021-03-18-000923-b-b1")</f>
        <v/>
      </c>
      <c r="E842" t="s" s="1">
        <v>1941</v>
      </c>
      <c r="F842" t="s" s="1">
        <v>2359</v>
      </c>
      <c r="G842" t="s" s="1">
        <v>3383</v>
      </c>
      <c r="H842" t="s" s="1">
        <v>496</v>
      </c>
      <c r="I842" t="s" s="1">
        <v>2178</v>
      </c>
      <c r="J842" t="s" s="1">
        <v>3119</v>
      </c>
      <c r="K842" t="s" s="1">
        <v>542</v>
      </c>
      <c r="L842" t="s" s="1">
        <v>492</v>
      </c>
      <c r="M842" t="n" s="5">
        <v>900.0</v>
      </c>
      <c r="N842" t="n" s="7">
        <v>44273.0</v>
      </c>
      <c r="O842" t="n" s="7">
        <v>44561.0</v>
      </c>
      <c r="P842" t="s" s="1">
        <v>3384</v>
      </c>
    </row>
    <row r="843" spans="1:16">
      <c r="A843" t="n" s="4">
        <v>839</v>
      </c>
      <c r="B843" s="2">
        <f>HYPERLINK("https://my.zakupki.prom.ua/remote/dispatcher/state_purchase_view/26116129", "UA-2021-04-23-004146-c")</f>
        <v/>
      </c>
      <c r="C843" t="s" s="2">
        <v>3102</v>
      </c>
      <c r="D843" s="2">
        <f>HYPERLINK("https://my.zakupki.prom.ua/remote/dispatcher/state_contracting_view/8675778", "UA-2021-04-23-004146-c-c1")</f>
        <v/>
      </c>
      <c r="E843" t="s" s="1">
        <v>1718</v>
      </c>
      <c r="F843" t="s" s="1">
        <v>2603</v>
      </c>
      <c r="G843" t="s" s="1">
        <v>2603</v>
      </c>
      <c r="H843" t="s" s="1">
        <v>774</v>
      </c>
      <c r="I843" t="s" s="1">
        <v>2178</v>
      </c>
      <c r="J843" t="s" s="1">
        <v>3258</v>
      </c>
      <c r="K843" t="s" s="1">
        <v>776</v>
      </c>
      <c r="L843" t="s" s="1">
        <v>298</v>
      </c>
      <c r="M843" t="n" s="5">
        <v>89656.6</v>
      </c>
      <c r="N843" t="n" s="7">
        <v>44309.0</v>
      </c>
      <c r="O843" t="n" s="7">
        <v>44561.0</v>
      </c>
      <c r="P843" t="s" s="1">
        <v>3384</v>
      </c>
    </row>
    <row r="844" spans="1:16">
      <c r="A844" t="n" s="4">
        <v>840</v>
      </c>
      <c r="B844" s="2">
        <f>HYPERLINK("https://my.zakupki.prom.ua/remote/dispatcher/state_purchase_view/32579332", "UA-2021-12-03-015048-c")</f>
        <v/>
      </c>
      <c r="C844" t="s" s="2">
        <v>3102</v>
      </c>
      <c r="D844" s="2">
        <f>HYPERLINK("https://my.zakupki.prom.ua/remote/dispatcher/state_contracting_view/11686653", "UA-2021-12-03-015048-c-c1")</f>
        <v/>
      </c>
      <c r="E844" t="s" s="1">
        <v>1372</v>
      </c>
      <c r="F844" t="s" s="1">
        <v>3046</v>
      </c>
      <c r="G844" t="s" s="1">
        <v>2136</v>
      </c>
      <c r="H844" t="s" s="1">
        <v>774</v>
      </c>
      <c r="I844" t="s" s="1">
        <v>2178</v>
      </c>
      <c r="J844" t="s" s="1">
        <v>3217</v>
      </c>
      <c r="K844" t="s" s="1">
        <v>519</v>
      </c>
      <c r="L844" t="s" s="1">
        <v>1630</v>
      </c>
      <c r="M844" t="n" s="5">
        <v>167913.25</v>
      </c>
      <c r="N844" t="n" s="7">
        <v>44531.0</v>
      </c>
      <c r="O844" t="n" s="7">
        <v>44561.0</v>
      </c>
      <c r="P844" t="s" s="1">
        <v>3384</v>
      </c>
    </row>
    <row r="845" spans="1:16">
      <c r="A845" t="n" s="4">
        <v>841</v>
      </c>
      <c r="B845" s="2">
        <f>HYPERLINK("https://my.zakupki.prom.ua/remote/dispatcher/state_purchase_view/24717056", "UA-2021-03-09-011890-c")</f>
        <v/>
      </c>
      <c r="C845" t="s" s="2">
        <v>3102</v>
      </c>
      <c r="D845" s="2">
        <f>HYPERLINK("https://my.zakupki.prom.ua/remote/dispatcher/state_contracting_view/8072134", "UA-2021-03-09-011890-c-c1")</f>
        <v/>
      </c>
      <c r="E845" t="s" s="1">
        <v>1831</v>
      </c>
      <c r="F845" t="s" s="1">
        <v>2932</v>
      </c>
      <c r="G845" t="s" s="1">
        <v>2932</v>
      </c>
      <c r="H845" t="s" s="1">
        <v>1317</v>
      </c>
      <c r="I845" t="s" s="1">
        <v>3143</v>
      </c>
      <c r="J845" t="s" s="1">
        <v>3271</v>
      </c>
      <c r="K845" t="s" s="1">
        <v>694</v>
      </c>
      <c r="L845" t="s" s="1">
        <v>414</v>
      </c>
      <c r="M845" t="n" s="5">
        <v>158400.0</v>
      </c>
      <c r="N845" t="n" s="7">
        <v>44270.0</v>
      </c>
      <c r="O845" t="n" s="7">
        <v>44561.0</v>
      </c>
      <c r="P845" t="s" s="1">
        <v>3384</v>
      </c>
    </row>
    <row r="846" spans="1:16">
      <c r="A846" t="n" s="4">
        <v>842</v>
      </c>
      <c r="B846" s="2">
        <f>HYPERLINK("https://my.zakupki.prom.ua/remote/dispatcher/state_purchase_view/24579563", "UA-2021-03-03-011120-c")</f>
        <v/>
      </c>
      <c r="C846" t="s" s="2">
        <v>3102</v>
      </c>
      <c r="D846" s="2">
        <f>HYPERLINK("https://my.zakupki.prom.ua/remote/dispatcher/state_contracting_view/7941265", "UA-2021-03-03-011120-c-c1")</f>
        <v/>
      </c>
      <c r="E846" t="s" s="1">
        <v>83</v>
      </c>
      <c r="F846" t="s" s="1">
        <v>2959</v>
      </c>
      <c r="G846" t="s" s="1">
        <v>2959</v>
      </c>
      <c r="H846" t="s" s="1">
        <v>1450</v>
      </c>
      <c r="I846" t="s" s="1">
        <v>2178</v>
      </c>
      <c r="J846" t="s" s="1">
        <v>2134</v>
      </c>
      <c r="K846" t="s" s="1">
        <v>370</v>
      </c>
      <c r="L846" t="s" s="1">
        <v>6</v>
      </c>
      <c r="M846" t="n" s="5">
        <v>4054.0</v>
      </c>
      <c r="N846" t="n" s="7">
        <v>44256.0</v>
      </c>
      <c r="O846" t="n" s="7">
        <v>44561.0</v>
      </c>
      <c r="P846" t="s" s="1">
        <v>3384</v>
      </c>
    </row>
    <row r="847" spans="1:16">
      <c r="A847" t="n" s="4">
        <v>843</v>
      </c>
      <c r="B847" s="2">
        <f>HYPERLINK("https://my.zakupki.prom.ua/remote/dispatcher/state_purchase_view/26258544", "UA-2021-04-29-005159-c")</f>
        <v/>
      </c>
      <c r="C847" t="s" s="2">
        <v>3102</v>
      </c>
      <c r="D847" s="2">
        <f>HYPERLINK("https://my.zakupki.prom.ua/remote/dispatcher/state_contracting_view/8738790", "UA-2021-04-29-005159-c-c1")</f>
        <v/>
      </c>
      <c r="E847" t="s" s="1">
        <v>1416</v>
      </c>
      <c r="F847" t="s" s="1">
        <v>2327</v>
      </c>
      <c r="G847" t="s" s="1">
        <v>2327</v>
      </c>
      <c r="H847" t="s" s="1">
        <v>346</v>
      </c>
      <c r="I847" t="s" s="1">
        <v>2178</v>
      </c>
      <c r="J847" t="s" s="1">
        <v>3112</v>
      </c>
      <c r="K847" t="s" s="1">
        <v>802</v>
      </c>
      <c r="L847" t="s" s="1">
        <v>615</v>
      </c>
      <c r="M847" t="n" s="5">
        <v>745.9</v>
      </c>
      <c r="N847" t="n" s="7">
        <v>44315.0</v>
      </c>
      <c r="O847" t="n" s="7">
        <v>44561.0</v>
      </c>
      <c r="P847" t="s" s="1">
        <v>3384</v>
      </c>
    </row>
    <row r="848" spans="1:16">
      <c r="A848" t="n" s="4">
        <v>844</v>
      </c>
      <c r="B848" s="2">
        <f>HYPERLINK("https://my.zakupki.prom.ua/remote/dispatcher/state_purchase_view/25630984", "UA-2021-04-08-001028-b")</f>
        <v/>
      </c>
      <c r="C848" t="s" s="2">
        <v>3102</v>
      </c>
      <c r="D848" s="2">
        <f>HYPERLINK("https://my.zakupki.prom.ua/remote/dispatcher/state_contracting_view/8442715", "UA-2021-04-08-001028-b-b1")</f>
        <v/>
      </c>
      <c r="E848" t="s" s="1">
        <v>2071</v>
      </c>
      <c r="F848" t="s" s="1">
        <v>2808</v>
      </c>
      <c r="G848" t="s" s="1">
        <v>2808</v>
      </c>
      <c r="H848" t="s" s="1">
        <v>1048</v>
      </c>
      <c r="I848" t="s" s="1">
        <v>2178</v>
      </c>
      <c r="J848" t="s" s="1">
        <v>3112</v>
      </c>
      <c r="K848" t="s" s="1">
        <v>802</v>
      </c>
      <c r="L848" t="s" s="1">
        <v>94</v>
      </c>
      <c r="M848" t="n" s="5">
        <v>2867.0</v>
      </c>
      <c r="N848" t="n" s="7">
        <v>44294.0</v>
      </c>
      <c r="O848" t="n" s="7">
        <v>44561.0</v>
      </c>
      <c r="P848" t="s" s="1">
        <v>3384</v>
      </c>
    </row>
    <row r="849" spans="1:16">
      <c r="A849" t="n" s="4">
        <v>845</v>
      </c>
      <c r="B849" s="2">
        <f>HYPERLINK("https://my.zakupki.prom.ua/remote/dispatcher/state_purchase_view/25635050", "UA-2021-04-08-002207-b")</f>
        <v/>
      </c>
      <c r="C849" t="s" s="2">
        <v>3102</v>
      </c>
      <c r="D849" s="2">
        <f>HYPERLINK("https://my.zakupki.prom.ua/remote/dispatcher/state_contracting_view/8443274", "UA-2021-04-08-002207-b-b1")</f>
        <v/>
      </c>
      <c r="E849" t="s" s="1">
        <v>460</v>
      </c>
      <c r="F849" t="s" s="1">
        <v>2851</v>
      </c>
      <c r="G849" t="s" s="1">
        <v>2851</v>
      </c>
      <c r="H849" t="s" s="1">
        <v>1073</v>
      </c>
      <c r="I849" t="s" s="1">
        <v>2178</v>
      </c>
      <c r="J849" t="s" s="1">
        <v>3112</v>
      </c>
      <c r="K849" t="s" s="1">
        <v>802</v>
      </c>
      <c r="L849" t="s" s="1">
        <v>310</v>
      </c>
      <c r="M849" t="n" s="5">
        <v>570.0</v>
      </c>
      <c r="N849" t="n" s="7">
        <v>44294.0</v>
      </c>
      <c r="O849" t="n" s="7">
        <v>44561.0</v>
      </c>
      <c r="P849" t="s" s="1">
        <v>3384</v>
      </c>
    </row>
    <row r="850" spans="1:16">
      <c r="A850" t="n" s="4">
        <v>846</v>
      </c>
      <c r="B850" s="2">
        <f>HYPERLINK("https://my.zakupki.prom.ua/remote/dispatcher/state_purchase_view/25516893", "UA-2021-04-05-002069-c")</f>
        <v/>
      </c>
      <c r="C850" t="s" s="2">
        <v>3102</v>
      </c>
      <c r="D850" s="2">
        <f>HYPERLINK("https://my.zakupki.prom.ua/remote/dispatcher/state_contracting_view/8382758", "UA-2021-04-05-002069-c-c1")</f>
        <v/>
      </c>
      <c r="E850" t="s" s="1">
        <v>1850</v>
      </c>
      <c r="F850" t="s" s="1">
        <v>2796</v>
      </c>
      <c r="G850" t="s" s="1">
        <v>2796</v>
      </c>
      <c r="H850" t="s" s="1">
        <v>938</v>
      </c>
      <c r="I850" t="s" s="1">
        <v>2178</v>
      </c>
      <c r="J850" t="s" s="1">
        <v>3356</v>
      </c>
      <c r="K850" t="s" s="1">
        <v>814</v>
      </c>
      <c r="L850" t="s" s="1">
        <v>735</v>
      </c>
      <c r="M850" t="n" s="5">
        <v>14615.3</v>
      </c>
      <c r="N850" t="n" s="7">
        <v>44291.0</v>
      </c>
      <c r="O850" t="n" s="7">
        <v>44561.0</v>
      </c>
      <c r="P850" t="s" s="1">
        <v>3384</v>
      </c>
    </row>
    <row r="851" spans="1:16">
      <c r="A851" t="n" s="4">
        <v>847</v>
      </c>
      <c r="B851" s="2">
        <f>HYPERLINK("https://my.zakupki.prom.ua/remote/dispatcher/state_purchase_view/25514970", "UA-2021-04-05-001416-c")</f>
        <v/>
      </c>
      <c r="C851" t="s" s="2">
        <v>3102</v>
      </c>
      <c r="D851" s="2">
        <f>HYPERLINK("https://my.zakupki.prom.ua/remote/dispatcher/state_contracting_view/8382138", "UA-2021-04-05-001416-c-c1")</f>
        <v/>
      </c>
      <c r="E851" t="s" s="1">
        <v>2095</v>
      </c>
      <c r="F851" t="s" s="1">
        <v>2794</v>
      </c>
      <c r="G851" t="s" s="1">
        <v>3462</v>
      </c>
      <c r="H851" t="s" s="1">
        <v>938</v>
      </c>
      <c r="I851" t="s" s="1">
        <v>2178</v>
      </c>
      <c r="J851" t="s" s="1">
        <v>3356</v>
      </c>
      <c r="K851" t="s" s="1">
        <v>814</v>
      </c>
      <c r="L851" t="s" s="1">
        <v>730</v>
      </c>
      <c r="M851" t="n" s="5">
        <v>4150.4</v>
      </c>
      <c r="N851" t="n" s="7">
        <v>44291.0</v>
      </c>
      <c r="O851" t="n" s="7">
        <v>44561.0</v>
      </c>
      <c r="P851" t="s" s="1">
        <v>3384</v>
      </c>
    </row>
    <row r="852" spans="1:16">
      <c r="A852" t="n" s="4">
        <v>848</v>
      </c>
      <c r="B852" s="2">
        <f>HYPERLINK("https://my.zakupki.prom.ua/remote/dispatcher/state_purchase_view/26546958", "UA-2021-05-14-007169-c")</f>
        <v/>
      </c>
      <c r="C852" t="s" s="2">
        <v>3102</v>
      </c>
      <c r="D852" s="2">
        <f>HYPERLINK("https://my.zakupki.prom.ua/remote/dispatcher/state_contracting_view/9155213", "UA-2021-05-14-007169-c-b1")</f>
        <v/>
      </c>
      <c r="E852" t="s" s="1">
        <v>1804</v>
      </c>
      <c r="F852" t="s" s="1">
        <v>2302</v>
      </c>
      <c r="G852" t="s" s="1">
        <v>2302</v>
      </c>
      <c r="H852" t="s" s="1">
        <v>277</v>
      </c>
      <c r="I852" t="s" s="1">
        <v>3171</v>
      </c>
      <c r="J852" t="s" s="1">
        <v>3326</v>
      </c>
      <c r="K852" t="s" s="1">
        <v>592</v>
      </c>
      <c r="L852" t="s" s="1">
        <v>1257</v>
      </c>
      <c r="M852" t="n" s="5">
        <v>19200.0</v>
      </c>
      <c r="N852" t="n" s="7">
        <v>44350.0</v>
      </c>
      <c r="O852" t="n" s="7">
        <v>44561.0</v>
      </c>
      <c r="P852" t="s" s="1">
        <v>3384</v>
      </c>
    </row>
    <row r="853" spans="1:16">
      <c r="A853" t="n" s="4">
        <v>849</v>
      </c>
      <c r="B853" s="2">
        <f>HYPERLINK("https://my.zakupki.prom.ua/remote/dispatcher/state_purchase_view/26355836", "UA-2021-05-06-007836-c")</f>
        <v/>
      </c>
      <c r="C853" t="s" s="2">
        <v>3102</v>
      </c>
      <c r="D853" s="2">
        <f>HYPERLINK("https://my.zakupki.prom.ua/remote/dispatcher/state_contracting_view/8785242", "UA-2021-05-06-007836-c-c1")</f>
        <v/>
      </c>
      <c r="E853" t="s" s="1">
        <v>1141</v>
      </c>
      <c r="F853" t="s" s="1">
        <v>2294</v>
      </c>
      <c r="G853" t="s" s="1">
        <v>2294</v>
      </c>
      <c r="H853" t="s" s="1">
        <v>274</v>
      </c>
      <c r="I853" t="s" s="1">
        <v>2178</v>
      </c>
      <c r="J853" t="s" s="1">
        <v>3356</v>
      </c>
      <c r="K853" t="s" s="1">
        <v>814</v>
      </c>
      <c r="L853" t="s" s="1">
        <v>1130</v>
      </c>
      <c r="M853" t="n" s="5">
        <v>7698.5</v>
      </c>
      <c r="N853" t="n" s="7">
        <v>44321.0</v>
      </c>
      <c r="O853" t="n" s="7">
        <v>44561.0</v>
      </c>
      <c r="P853" t="s" s="1">
        <v>3384</v>
      </c>
    </row>
    <row r="854" spans="1:16">
      <c r="A854" t="n" s="4">
        <v>850</v>
      </c>
      <c r="B854" s="2">
        <f>HYPERLINK("https://my.zakupki.prom.ua/remote/dispatcher/state_purchase_view/26335238", "UA-2021-05-06-002015-c")</f>
        <v/>
      </c>
      <c r="C854" t="s" s="2">
        <v>3102</v>
      </c>
      <c r="D854" s="2">
        <f>HYPERLINK("https://my.zakupki.prom.ua/remote/dispatcher/state_contracting_view/8777620", "UA-2021-05-06-002015-c-c1")</f>
        <v/>
      </c>
      <c r="E854" t="s" s="1">
        <v>2056</v>
      </c>
      <c r="F854" t="s" s="1">
        <v>2880</v>
      </c>
      <c r="G854" t="s" s="1">
        <v>2880</v>
      </c>
      <c r="H854" t="s" s="1">
        <v>1083</v>
      </c>
      <c r="I854" t="s" s="1">
        <v>2178</v>
      </c>
      <c r="J854" t="s" s="1">
        <v>2141</v>
      </c>
      <c r="K854" t="s" s="1">
        <v>438</v>
      </c>
      <c r="L854" t="s" s="1">
        <v>1127</v>
      </c>
      <c r="M854" t="n" s="5">
        <v>3128.0</v>
      </c>
      <c r="N854" t="n" s="7">
        <v>44322.0</v>
      </c>
      <c r="O854" t="n" s="7">
        <v>44561.0</v>
      </c>
      <c r="P854" t="s" s="1">
        <v>3384</v>
      </c>
    </row>
    <row r="855" spans="1:16">
      <c r="A855" t="n" s="4">
        <v>851</v>
      </c>
      <c r="B855" s="2">
        <f>HYPERLINK("https://my.zakupki.prom.ua/remote/dispatcher/state_purchase_view/25539835", "UA-2021-04-05-006570-a")</f>
        <v/>
      </c>
      <c r="C855" t="s" s="2">
        <v>3102</v>
      </c>
      <c r="D855" s="2">
        <f>HYPERLINK("https://my.zakupki.prom.ua/remote/dispatcher/state_contracting_view/8791902", "UA-2021-04-05-006570-a-a1")</f>
        <v/>
      </c>
      <c r="E855" t="s" s="1">
        <v>963</v>
      </c>
      <c r="F855" t="s" s="1">
        <v>2227</v>
      </c>
      <c r="G855" t="s" s="1">
        <v>3368</v>
      </c>
      <c r="H855" t="s" s="1">
        <v>51</v>
      </c>
      <c r="I855" t="s" s="1">
        <v>2142</v>
      </c>
      <c r="J855" t="s" s="1">
        <v>3338</v>
      </c>
      <c r="K855" t="s" s="1">
        <v>797</v>
      </c>
      <c r="L855" t="s" s="1">
        <v>1165</v>
      </c>
      <c r="M855" t="n" s="5">
        <v>82364.0</v>
      </c>
      <c r="N855" t="n" s="7">
        <v>44323.0</v>
      </c>
      <c r="O855" t="n" s="7">
        <v>44561.0</v>
      </c>
      <c r="P855" t="s" s="1">
        <v>3384</v>
      </c>
    </row>
    <row r="856" spans="1:16">
      <c r="A856" t="n" s="4">
        <v>852</v>
      </c>
      <c r="B856" s="2">
        <f>HYPERLINK("https://my.zakupki.prom.ua/remote/dispatcher/state_purchase_view/24006477", "UA-2021-02-15-003792-c")</f>
        <v/>
      </c>
      <c r="C856" t="s" s="2">
        <v>3102</v>
      </c>
      <c r="D856" s="2">
        <f>HYPERLINK("https://my.zakupki.prom.ua/remote/dispatcher/state_contracting_view/7665667", "UA-2021-02-15-003792-c-c1")</f>
        <v/>
      </c>
      <c r="E856" t="s" s="1">
        <v>1974</v>
      </c>
      <c r="F856" t="s" s="1">
        <v>2766</v>
      </c>
      <c r="G856" t="s" s="1">
        <v>2766</v>
      </c>
      <c r="H856" t="s" s="1">
        <v>919</v>
      </c>
      <c r="I856" t="s" s="1">
        <v>2178</v>
      </c>
      <c r="J856" t="s" s="1">
        <v>2191</v>
      </c>
      <c r="K856" t="s" s="1">
        <v>672</v>
      </c>
      <c r="L856" t="s" s="1">
        <v>132</v>
      </c>
      <c r="M856" t="n" s="5">
        <v>8100.0</v>
      </c>
      <c r="N856" t="n" s="7">
        <v>44242.0</v>
      </c>
      <c r="O856" t="n" s="7">
        <v>44561.0</v>
      </c>
      <c r="P856" t="s" s="1">
        <v>3384</v>
      </c>
    </row>
    <row r="857" spans="1:16">
      <c r="A857" t="n" s="4">
        <v>853</v>
      </c>
      <c r="B857" s="2">
        <f>HYPERLINK("https://my.zakupki.prom.ua/remote/dispatcher/state_purchase_view/23997650", "UA-2021-02-15-001313-c")</f>
        <v/>
      </c>
      <c r="C857" t="s" s="2">
        <v>3102</v>
      </c>
      <c r="D857" s="2">
        <f>HYPERLINK("https://my.zakupki.prom.ua/remote/dispatcher/state_contracting_view/7665082", "UA-2021-02-15-001313-c-c1")</f>
        <v/>
      </c>
      <c r="E857" t="s" s="1">
        <v>1002</v>
      </c>
      <c r="F857" t="s" s="1">
        <v>2254</v>
      </c>
      <c r="G857" t="s" s="1">
        <v>2254</v>
      </c>
      <c r="H857" t="s" s="1">
        <v>249</v>
      </c>
      <c r="I857" t="s" s="1">
        <v>2178</v>
      </c>
      <c r="J857" t="s" s="1">
        <v>3356</v>
      </c>
      <c r="K857" t="s" s="1">
        <v>814</v>
      </c>
      <c r="L857" t="s" s="1">
        <v>130</v>
      </c>
      <c r="M857" t="n" s="5">
        <v>15980.0</v>
      </c>
      <c r="N857" t="n" s="7">
        <v>44237.0</v>
      </c>
      <c r="O857" t="n" s="7">
        <v>44561.0</v>
      </c>
      <c r="P857" t="s" s="1">
        <v>3384</v>
      </c>
    </row>
    <row r="858" spans="1:16">
      <c r="A858" t="n" s="4">
        <v>854</v>
      </c>
      <c r="B858" s="2">
        <f>HYPERLINK("https://my.zakupki.prom.ua/remote/dispatcher/state_purchase_view/23996253", "UA-2021-02-15-000943-c")</f>
        <v/>
      </c>
      <c r="C858" t="s" s="2">
        <v>3102</v>
      </c>
      <c r="D858" s="2">
        <f>HYPERLINK("https://my.zakupki.prom.ua/remote/dispatcher/state_contracting_view/7664646", "UA-2021-02-15-000943-c-c1")</f>
        <v/>
      </c>
      <c r="E858" t="s" s="1">
        <v>1938</v>
      </c>
      <c r="F858" t="s" s="1">
        <v>2266</v>
      </c>
      <c r="G858" t="s" s="1">
        <v>3488</v>
      </c>
      <c r="H858" t="s" s="1">
        <v>258</v>
      </c>
      <c r="I858" t="s" s="1">
        <v>2178</v>
      </c>
      <c r="J858" t="s" s="1">
        <v>3356</v>
      </c>
      <c r="K858" t="s" s="1">
        <v>814</v>
      </c>
      <c r="L858" t="s" s="1">
        <v>1751</v>
      </c>
      <c r="M858" t="n" s="5">
        <v>39525.0</v>
      </c>
      <c r="N858" t="n" s="7">
        <v>44237.0</v>
      </c>
      <c r="O858" t="n" s="7">
        <v>44561.0</v>
      </c>
      <c r="P858" t="s" s="1">
        <v>3384</v>
      </c>
    </row>
    <row r="859" spans="1:16">
      <c r="A859" t="n" s="4">
        <v>855</v>
      </c>
      <c r="B859" s="2">
        <f>HYPERLINK("https://my.zakupki.prom.ua/remote/dispatcher/state_purchase_view/24294389", "UA-2021-02-23-004575-b")</f>
        <v/>
      </c>
      <c r="C859" t="s" s="2">
        <v>3102</v>
      </c>
      <c r="D859" s="2">
        <f>HYPERLINK("https://my.zakupki.prom.ua/remote/dispatcher/state_contracting_view/7800586", "UA-2021-02-23-004575-b-b1")</f>
        <v/>
      </c>
      <c r="E859" t="s" s="1">
        <v>1701</v>
      </c>
      <c r="F859" t="s" s="1">
        <v>2529</v>
      </c>
      <c r="G859" t="s" s="1">
        <v>3484</v>
      </c>
      <c r="H859" t="s" s="1">
        <v>759</v>
      </c>
      <c r="I859" t="s" s="1">
        <v>2178</v>
      </c>
      <c r="J859" t="s" s="1">
        <v>3277</v>
      </c>
      <c r="K859" t="s" s="1">
        <v>519</v>
      </c>
      <c r="L859" t="s" s="1">
        <v>175</v>
      </c>
      <c r="M859" t="n" s="5">
        <v>1046.72</v>
      </c>
      <c r="N859" t="n" s="7">
        <v>44249.0</v>
      </c>
      <c r="O859" t="n" s="7">
        <v>44561.0</v>
      </c>
      <c r="P859" t="s" s="1">
        <v>3384</v>
      </c>
    </row>
    <row r="860" spans="1:16">
      <c r="A860" t="n" s="4">
        <v>856</v>
      </c>
      <c r="B860" s="2">
        <f>HYPERLINK("https://my.zakupki.prom.ua/remote/dispatcher/state_purchase_view/22908852", "UA-2021-01-12-000260-a")</f>
        <v/>
      </c>
      <c r="C860" t="s" s="2">
        <v>3102</v>
      </c>
      <c r="D860" s="2">
        <f>HYPERLINK("https://my.zakupki.prom.ua/remote/dispatcher/state_contracting_view/7207750", "UA-2021-01-12-000260-a-a1")</f>
        <v/>
      </c>
      <c r="E860" t="s" s="1">
        <v>1351</v>
      </c>
      <c r="F860" t="s" s="1">
        <v>2922</v>
      </c>
      <c r="G860" t="s" s="1">
        <v>2922</v>
      </c>
      <c r="H860" t="s" s="1">
        <v>1175</v>
      </c>
      <c r="I860" t="s" s="1">
        <v>2178</v>
      </c>
      <c r="J860" t="s" s="1">
        <v>3275</v>
      </c>
      <c r="K860" t="s" s="1">
        <v>994</v>
      </c>
      <c r="L860" t="s" s="1">
        <v>1327</v>
      </c>
      <c r="M860" t="n" s="5">
        <v>45000.0</v>
      </c>
      <c r="N860" t="n" s="7">
        <v>44208.0</v>
      </c>
      <c r="O860" t="n" s="7">
        <v>44561.0</v>
      </c>
      <c r="P860" t="s" s="1">
        <v>3384</v>
      </c>
    </row>
    <row r="861" spans="1:16">
      <c r="A861" t="n" s="4">
        <v>857</v>
      </c>
      <c r="B861" s="2">
        <f>HYPERLINK("https://my.zakupki.prom.ua/remote/dispatcher/state_purchase_view/23801592", "UA-2021-02-09-003721-a")</f>
        <v/>
      </c>
      <c r="C861" t="s" s="2">
        <v>3102</v>
      </c>
      <c r="D861" s="2">
        <f>HYPERLINK("https://my.zakupki.prom.ua/remote/dispatcher/state_contracting_view/7572327", "UA-2021-02-09-003721-a-a1")</f>
        <v/>
      </c>
      <c r="E861" t="s" s="1">
        <v>1315</v>
      </c>
      <c r="F861" t="s" s="1">
        <v>2351</v>
      </c>
      <c r="G861" t="s" s="1">
        <v>3435</v>
      </c>
      <c r="H861" t="s" s="1">
        <v>494</v>
      </c>
      <c r="I861" t="s" s="1">
        <v>2178</v>
      </c>
      <c r="J861" t="s" s="1">
        <v>2144</v>
      </c>
      <c r="K861" t="s" s="1">
        <v>428</v>
      </c>
      <c r="L861" t="s" s="1">
        <v>1651</v>
      </c>
      <c r="M861" t="n" s="5">
        <v>3100.0</v>
      </c>
      <c r="N861" t="n" s="7">
        <v>44236.0</v>
      </c>
      <c r="O861" t="n" s="7">
        <v>44561.0</v>
      </c>
      <c r="P861" t="s" s="1">
        <v>3384</v>
      </c>
    </row>
    <row r="862" spans="1:16">
      <c r="A862" t="n" s="4">
        <v>858</v>
      </c>
      <c r="B862" s="2">
        <f>HYPERLINK("https://my.zakupki.prom.ua/remote/dispatcher/state_purchase_view/25399539", "UA-2021-03-31-000233-a")</f>
        <v/>
      </c>
      <c r="C862" t="s" s="2">
        <v>3102</v>
      </c>
      <c r="D862" s="2">
        <f>HYPERLINK("https://my.zakupki.prom.ua/remote/dispatcher/state_contracting_view/8329752", "UA-2021-03-31-000233-a-a1")</f>
        <v/>
      </c>
      <c r="E862" t="s" s="1">
        <v>1304</v>
      </c>
      <c r="F862" t="s" s="1">
        <v>3011</v>
      </c>
      <c r="G862" t="s" s="1">
        <v>3011</v>
      </c>
      <c r="H862" t="s" s="1">
        <v>1578</v>
      </c>
      <c r="I862" t="s" s="1">
        <v>2178</v>
      </c>
      <c r="J862" t="s" s="1">
        <v>3084</v>
      </c>
      <c r="K862" t="s" s="1">
        <v>36</v>
      </c>
      <c r="L862" t="s" s="1">
        <v>859</v>
      </c>
      <c r="M862" t="n" s="5">
        <v>2003.0</v>
      </c>
      <c r="N862" t="n" s="7">
        <v>44281.0</v>
      </c>
      <c r="O862" t="n" s="7">
        <v>44561.0</v>
      </c>
      <c r="P862" t="s" s="1">
        <v>3384</v>
      </c>
    </row>
    <row r="863" spans="1:16">
      <c r="A863" t="n" s="4">
        <v>859</v>
      </c>
      <c r="B863" s="2">
        <f>HYPERLINK("https://my.zakupki.prom.ua/remote/dispatcher/state_purchase_view/25873318", "UA-2021-04-15-003445-a")</f>
        <v/>
      </c>
      <c r="C863" t="s" s="2">
        <v>3102</v>
      </c>
      <c r="D863" s="2">
        <f>HYPERLINK("https://my.zakupki.prom.ua/remote/dispatcher/state_contracting_view/8552821", "UA-2021-04-15-003445-a-a1")</f>
        <v/>
      </c>
      <c r="E863" t="s" s="1">
        <v>1983</v>
      </c>
      <c r="F863" t="s" s="1">
        <v>2268</v>
      </c>
      <c r="G863" t="s" s="1">
        <v>2268</v>
      </c>
      <c r="H863" t="s" s="1">
        <v>259</v>
      </c>
      <c r="I863" t="s" s="1">
        <v>2178</v>
      </c>
      <c r="J863" t="s" s="1">
        <v>3356</v>
      </c>
      <c r="K863" t="s" s="1">
        <v>814</v>
      </c>
      <c r="L863" t="s" s="1">
        <v>989</v>
      </c>
      <c r="M863" t="n" s="5">
        <v>11330.0</v>
      </c>
      <c r="N863" t="n" s="7">
        <v>44301.0</v>
      </c>
      <c r="O863" t="n" s="7">
        <v>44561.0</v>
      </c>
      <c r="P863" t="s" s="1">
        <v>3384</v>
      </c>
    </row>
    <row r="864" spans="1:16">
      <c r="A864" t="n" s="4">
        <v>860</v>
      </c>
      <c r="B864" s="2">
        <f>HYPERLINK("https://my.zakupki.prom.ua/remote/dispatcher/state_purchase_view/26250431", "UA-2021-04-29-002455-c")</f>
        <v/>
      </c>
      <c r="C864" t="s" s="2">
        <v>3102</v>
      </c>
      <c r="D864" s="2">
        <f>HYPERLINK("https://my.zakupki.prom.ua/remote/dispatcher/state_contracting_view/8735076", "UA-2021-04-29-002455-c-c1")</f>
        <v/>
      </c>
      <c r="E864" t="s" s="1">
        <v>554</v>
      </c>
      <c r="F864" t="s" s="1">
        <v>2417</v>
      </c>
      <c r="G864" t="s" s="1">
        <v>2417</v>
      </c>
      <c r="H864" t="s" s="1">
        <v>690</v>
      </c>
      <c r="I864" t="s" s="1">
        <v>2178</v>
      </c>
      <c r="J864" t="s" s="1">
        <v>3255</v>
      </c>
      <c r="K864" t="s" s="1">
        <v>716</v>
      </c>
      <c r="L864" t="s" s="1">
        <v>1247</v>
      </c>
      <c r="M864" t="n" s="5">
        <v>19685.0</v>
      </c>
      <c r="N864" t="n" s="7">
        <v>44314.0</v>
      </c>
      <c r="O864" t="n" s="7">
        <v>44561.0</v>
      </c>
      <c r="P864" t="s" s="1">
        <v>3384</v>
      </c>
    </row>
    <row r="865" spans="1:16">
      <c r="A865" t="n" s="4">
        <v>861</v>
      </c>
      <c r="B865" s="2">
        <f>HYPERLINK("https://my.zakupki.prom.ua/remote/dispatcher/state_purchase_view/26237144", "UA-2021-04-28-005478-a")</f>
        <v/>
      </c>
      <c r="C865" t="s" s="2">
        <v>3102</v>
      </c>
      <c r="D865" s="2">
        <f>HYPERLINK("https://my.zakupki.prom.ua/remote/dispatcher/state_contracting_view/8733955", "UA-2021-04-28-005478-a-a1")</f>
        <v/>
      </c>
      <c r="E865" t="s" s="1">
        <v>1149</v>
      </c>
      <c r="F865" t="s" s="1">
        <v>2281</v>
      </c>
      <c r="G865" t="s" s="1">
        <v>3415</v>
      </c>
      <c r="H865" t="s" s="1">
        <v>264</v>
      </c>
      <c r="I865" t="s" s="1">
        <v>2178</v>
      </c>
      <c r="J865" t="s" s="1">
        <v>3356</v>
      </c>
      <c r="K865" t="s" s="1">
        <v>814</v>
      </c>
      <c r="L865" t="s" s="1">
        <v>1096</v>
      </c>
      <c r="M865" t="n" s="5">
        <v>6400.0</v>
      </c>
      <c r="N865" t="n" s="7">
        <v>44314.0</v>
      </c>
      <c r="O865" t="n" s="7">
        <v>44561.0</v>
      </c>
      <c r="P865" t="s" s="1">
        <v>3384</v>
      </c>
    </row>
    <row r="866" spans="1:16">
      <c r="A866" t="n" s="4">
        <v>862</v>
      </c>
      <c r="B866" s="2">
        <f>HYPERLINK("https://my.zakupki.prom.ua/remote/dispatcher/state_purchase_view/31194805", "UA-2021-10-28-000618-a")</f>
        <v/>
      </c>
      <c r="C866" t="s" s="2">
        <v>3102</v>
      </c>
      <c r="D866" s="2">
        <f>HYPERLINK("https://my.zakupki.prom.ua/remote/dispatcher/state_contracting_view/11050520", "UA-2021-10-28-000618-a-a1")</f>
        <v/>
      </c>
      <c r="E866" t="s" s="1">
        <v>1555</v>
      </c>
      <c r="F866" t="s" s="1">
        <v>2987</v>
      </c>
      <c r="G866" t="s" s="1">
        <v>2987</v>
      </c>
      <c r="H866" t="s" s="1">
        <v>1532</v>
      </c>
      <c r="I866" t="s" s="1">
        <v>2178</v>
      </c>
      <c r="J866" t="s" s="1">
        <v>2163</v>
      </c>
      <c r="K866" t="s" s="1">
        <v>724</v>
      </c>
      <c r="L866" t="s" s="1">
        <v>425</v>
      </c>
      <c r="M866" t="n" s="5">
        <v>1194.0</v>
      </c>
      <c r="N866" t="n" s="7">
        <v>44496.0</v>
      </c>
      <c r="O866" t="n" s="7">
        <v>44561.0</v>
      </c>
      <c r="P866" t="s" s="1">
        <v>3384</v>
      </c>
    </row>
    <row r="867" spans="1:16">
      <c r="A867" t="n" s="4">
        <v>863</v>
      </c>
      <c r="B867" s="2">
        <f>HYPERLINK("https://my.zakupki.prom.ua/remote/dispatcher/state_purchase_view/30965995", "UA-2021-10-21-009322-b")</f>
        <v/>
      </c>
      <c r="C867" t="s" s="2">
        <v>3102</v>
      </c>
      <c r="D867" s="2">
        <f>HYPERLINK("https://my.zakupki.prom.ua/remote/dispatcher/state_contracting_view/10946150", "UA-2021-10-21-009322-b-b1")</f>
        <v/>
      </c>
      <c r="E867" t="s" s="1">
        <v>1770</v>
      </c>
      <c r="F867" t="s" s="1">
        <v>2311</v>
      </c>
      <c r="G867" t="s" s="1">
        <v>2311</v>
      </c>
      <c r="H867" t="s" s="1">
        <v>279</v>
      </c>
      <c r="I867" t="s" s="1">
        <v>2178</v>
      </c>
      <c r="J867" t="s" s="1">
        <v>3356</v>
      </c>
      <c r="K867" t="s" s="1">
        <v>814</v>
      </c>
      <c r="L867" t="s" s="1">
        <v>1516</v>
      </c>
      <c r="M867" t="n" s="5">
        <v>1800.0</v>
      </c>
      <c r="N867" t="n" s="7">
        <v>44490.0</v>
      </c>
      <c r="O867" t="n" s="7">
        <v>44561.0</v>
      </c>
      <c r="P867" t="s" s="1">
        <v>3384</v>
      </c>
    </row>
    <row r="868" spans="1:16">
      <c r="A868" t="n" s="4">
        <v>864</v>
      </c>
      <c r="B868" s="2">
        <f>HYPERLINK("https://my.zakupki.prom.ua/remote/dispatcher/state_purchase_view/31541355", "UA-2021-11-08-013052-b")</f>
        <v/>
      </c>
      <c r="C868" t="s" s="2">
        <v>3102</v>
      </c>
      <c r="D868" s="2">
        <f>HYPERLINK("https://my.zakupki.prom.ua/remote/dispatcher/state_contracting_view/11210064", "UA-2021-11-08-013052-b-b1")</f>
        <v/>
      </c>
      <c r="E868" t="s" s="1">
        <v>1855</v>
      </c>
      <c r="F868" t="s" s="1">
        <v>2367</v>
      </c>
      <c r="G868" t="s" s="1">
        <v>2367</v>
      </c>
      <c r="H868" t="s" s="1">
        <v>528</v>
      </c>
      <c r="I868" t="s" s="1">
        <v>2178</v>
      </c>
      <c r="J868" t="s" s="1">
        <v>2124</v>
      </c>
      <c r="K868" t="s" s="1">
        <v>74</v>
      </c>
      <c r="L868" t="s" s="1">
        <v>331</v>
      </c>
      <c r="M868" t="n" s="5">
        <v>1000000.0</v>
      </c>
      <c r="N868" t="n" s="7">
        <v>44505.0</v>
      </c>
      <c r="O868" t="n" s="7">
        <v>44561.0</v>
      </c>
      <c r="P868" t="s" s="1">
        <v>3384</v>
      </c>
    </row>
    <row r="869" spans="1:16">
      <c r="A869" t="n" s="4">
        <v>865</v>
      </c>
      <c r="B869" s="2">
        <f>HYPERLINK("https://my.zakupki.prom.ua/remote/dispatcher/state_purchase_view/26569935", "UA-2021-05-17-000865-b")</f>
        <v/>
      </c>
      <c r="C869" t="s" s="2">
        <v>3102</v>
      </c>
      <c r="D869" s="2">
        <f>HYPERLINK("https://my.zakupki.prom.ua/remote/dispatcher/state_contracting_view/8894505", "UA-2021-05-17-000865-b-b1")</f>
        <v/>
      </c>
      <c r="E869" t="s" s="1">
        <v>965</v>
      </c>
      <c r="F869" t="s" s="1">
        <v>2532</v>
      </c>
      <c r="G869" t="s" s="1">
        <v>3499</v>
      </c>
      <c r="H869" t="s" s="1">
        <v>759</v>
      </c>
      <c r="I869" t="s" s="1">
        <v>2178</v>
      </c>
      <c r="J869" t="s" s="1">
        <v>3277</v>
      </c>
      <c r="K869" t="s" s="1">
        <v>519</v>
      </c>
      <c r="L869" t="s" s="1">
        <v>1218</v>
      </c>
      <c r="M869" t="n" s="5">
        <v>3974.62</v>
      </c>
      <c r="N869" t="n" s="7">
        <v>44333.0</v>
      </c>
      <c r="O869" t="n" s="7">
        <v>44561.0</v>
      </c>
      <c r="P869" t="s" s="1">
        <v>3384</v>
      </c>
    </row>
    <row r="870" spans="1:16">
      <c r="A870" t="n" s="4">
        <v>866</v>
      </c>
      <c r="B870" s="2">
        <f>HYPERLINK("https://my.zakupki.prom.ua/remote/dispatcher/state_purchase_view/31783334", "UA-2021-11-15-008219-a")</f>
        <v/>
      </c>
      <c r="C870" t="s" s="2">
        <v>3102</v>
      </c>
      <c r="D870" s="2">
        <f>HYPERLINK("https://my.zakupki.prom.ua/remote/dispatcher/state_contracting_view/11320040", "UA-2021-11-15-008219-a-a1")</f>
        <v/>
      </c>
      <c r="E870" t="s" s="1">
        <v>1836</v>
      </c>
      <c r="F870" t="s" s="1">
        <v>2919</v>
      </c>
      <c r="G870" t="s" s="1">
        <v>2919</v>
      </c>
      <c r="H870" t="s" s="1">
        <v>1174</v>
      </c>
      <c r="I870" t="s" s="1">
        <v>2178</v>
      </c>
      <c r="J870" t="s" s="1">
        <v>3236</v>
      </c>
      <c r="K870" t="s" s="1">
        <v>838</v>
      </c>
      <c r="L870" t="s" s="1">
        <v>1585</v>
      </c>
      <c r="M870" t="n" s="5">
        <v>5548.0</v>
      </c>
      <c r="N870" t="n" s="7">
        <v>44515.0</v>
      </c>
      <c r="O870" t="n" s="7">
        <v>44560.0</v>
      </c>
      <c r="P870" t="s" s="1">
        <v>3384</v>
      </c>
    </row>
    <row r="871" spans="1:16">
      <c r="A871" t="n" s="4">
        <v>867</v>
      </c>
      <c r="B871" s="2">
        <f>HYPERLINK("https://my.zakupki.prom.ua/remote/dispatcher/state_purchase_view/27186305", "UA-2021-06-04-004798-b")</f>
        <v/>
      </c>
      <c r="C871" t="s" s="2">
        <v>3102</v>
      </c>
      <c r="D871" s="2">
        <f>HYPERLINK("https://my.zakupki.prom.ua/remote/dispatcher/state_contracting_view/9179589", "UA-2021-06-04-004798-b-b1")</f>
        <v/>
      </c>
      <c r="E871" t="s" s="1">
        <v>2058</v>
      </c>
      <c r="F871" t="s" s="1">
        <v>2998</v>
      </c>
      <c r="G871" t="s" s="1">
        <v>2998</v>
      </c>
      <c r="H871" t="s" s="1">
        <v>1573</v>
      </c>
      <c r="I871" t="s" s="1">
        <v>2178</v>
      </c>
      <c r="J871" t="s" s="1">
        <v>2157</v>
      </c>
      <c r="K871" t="s" s="1">
        <v>435</v>
      </c>
      <c r="L871" t="s" s="1">
        <v>321</v>
      </c>
      <c r="M871" t="n" s="5">
        <v>2586.67</v>
      </c>
      <c r="N871" t="n" s="7">
        <v>44351.0</v>
      </c>
      <c r="O871" t="n" s="7">
        <v>44520.0</v>
      </c>
      <c r="P871" t="s" s="1">
        <v>3384</v>
      </c>
    </row>
    <row r="872" spans="1:16">
      <c r="A872" t="n" s="4">
        <v>868</v>
      </c>
      <c r="B872" s="2">
        <f>HYPERLINK("https://my.zakupki.prom.ua/remote/dispatcher/state_purchase_view/27185194", "UA-2021-06-04-004505-b")</f>
        <v/>
      </c>
      <c r="C872" t="s" s="2">
        <v>3102</v>
      </c>
      <c r="D872" s="2">
        <f>HYPERLINK("https://my.zakupki.prom.ua/remote/dispatcher/state_contracting_view/9179209", "UA-2021-06-04-004505-b-b1")</f>
        <v/>
      </c>
      <c r="E872" t="s" s="1">
        <v>1895</v>
      </c>
      <c r="F872" t="s" s="1">
        <v>2991</v>
      </c>
      <c r="G872" t="s" s="1">
        <v>2991</v>
      </c>
      <c r="H872" t="s" s="1">
        <v>1573</v>
      </c>
      <c r="I872" t="s" s="1">
        <v>2178</v>
      </c>
      <c r="J872" t="s" s="1">
        <v>2157</v>
      </c>
      <c r="K872" t="s" s="1">
        <v>435</v>
      </c>
      <c r="L872" t="s" s="1">
        <v>320</v>
      </c>
      <c r="M872" t="n" s="5">
        <v>2210.66</v>
      </c>
      <c r="N872" t="n" s="7">
        <v>44351.0</v>
      </c>
      <c r="O872" t="n" s="7">
        <v>44520.0</v>
      </c>
      <c r="P872" t="s" s="1">
        <v>3384</v>
      </c>
    </row>
    <row r="873" spans="1:16">
      <c r="A873" t="n" s="4">
        <v>869</v>
      </c>
      <c r="B873" s="2">
        <f>HYPERLINK("https://my.zakupki.prom.ua/remote/dispatcher/state_purchase_view/28487493", "UA-2021-07-23-008978-b")</f>
        <v/>
      </c>
      <c r="C873" t="s" s="2">
        <v>3102</v>
      </c>
      <c r="D873" s="2">
        <f>HYPERLINK("https://my.zakupki.prom.ua/remote/dispatcher/state_contracting_view/9796700", "UA-2021-07-23-008978-b-b1")</f>
        <v/>
      </c>
      <c r="E873" t="s" s="1">
        <v>1995</v>
      </c>
      <c r="F873" t="s" s="1">
        <v>2899</v>
      </c>
      <c r="G873" t="s" s="1">
        <v>2899</v>
      </c>
      <c r="H873" t="s" s="1">
        <v>1097</v>
      </c>
      <c r="I873" t="s" s="1">
        <v>2178</v>
      </c>
      <c r="J873" t="s" s="1">
        <v>3214</v>
      </c>
      <c r="K873" t="s" s="1">
        <v>1003</v>
      </c>
      <c r="L873" t="s" s="1">
        <v>1360</v>
      </c>
      <c r="M873" t="n" s="5">
        <v>871357.0</v>
      </c>
      <c r="N873" t="n" s="7">
        <v>44398.0</v>
      </c>
      <c r="O873" t="n" s="7">
        <v>44439.0</v>
      </c>
      <c r="P873" t="s" s="1">
        <v>3384</v>
      </c>
    </row>
    <row r="874" spans="1:16">
      <c r="A874" t="n" s="4">
        <v>870</v>
      </c>
      <c r="B874" s="2">
        <f>HYPERLINK("https://my.zakupki.prom.ua/remote/dispatcher/state_purchase_view/28487371", "UA-2021-07-23-008935-b")</f>
        <v/>
      </c>
      <c r="C874" t="s" s="2">
        <v>3102</v>
      </c>
      <c r="D874" s="2">
        <f>HYPERLINK("https://my.zakupki.prom.ua/remote/dispatcher/state_contracting_view/9796621", "UA-2021-07-23-008935-b-b1")</f>
        <v/>
      </c>
      <c r="E874" t="s" s="1">
        <v>392</v>
      </c>
      <c r="F874" t="s" s="1">
        <v>2900</v>
      </c>
      <c r="G874" t="s" s="1">
        <v>2900</v>
      </c>
      <c r="H874" t="s" s="1">
        <v>1097</v>
      </c>
      <c r="I874" t="s" s="1">
        <v>2178</v>
      </c>
      <c r="J874" t="s" s="1">
        <v>3165</v>
      </c>
      <c r="K874" t="s" s="1">
        <v>717</v>
      </c>
      <c r="L874" t="s" s="1">
        <v>1358</v>
      </c>
      <c r="M874" t="n" s="5">
        <v>3955936.0</v>
      </c>
      <c r="N874" t="n" s="7">
        <v>44398.0</v>
      </c>
      <c r="O874" t="n" s="7">
        <v>44439.0</v>
      </c>
      <c r="P874" t="s" s="1">
        <v>3384</v>
      </c>
    </row>
    <row r="875" spans="1:16">
      <c r="A875" t="n" s="4">
        <v>871</v>
      </c>
      <c r="B875" s="2">
        <f>HYPERLINK("https://my.zakupki.prom.ua/remote/dispatcher/state_purchase_view/27172195", "UA-2021-06-04-000913-b")</f>
        <v/>
      </c>
      <c r="C875" t="s" s="2">
        <v>3102</v>
      </c>
      <c r="D875" s="2">
        <f>HYPERLINK("https://my.zakupki.prom.ua/remote/dispatcher/state_contracting_view/9198053", "UA-2021-06-04-000913-b-b1")</f>
        <v/>
      </c>
      <c r="E875" t="s" s="1">
        <v>2021</v>
      </c>
      <c r="F875" t="s" s="1">
        <v>3033</v>
      </c>
      <c r="G875" t="s" s="1">
        <v>3033</v>
      </c>
      <c r="H875" t="s" s="1">
        <v>1758</v>
      </c>
      <c r="I875" t="s" s="1">
        <v>2178</v>
      </c>
      <c r="J875" t="s" s="1">
        <v>3271</v>
      </c>
      <c r="K875" t="s" s="1">
        <v>694</v>
      </c>
      <c r="L875" t="s" s="1">
        <v>411</v>
      </c>
      <c r="M875" t="n" s="5">
        <v>14400.0</v>
      </c>
      <c r="N875" t="n" s="7">
        <v>44351.0</v>
      </c>
      <c r="O875" t="n" s="7">
        <v>44439.0</v>
      </c>
      <c r="P875" t="s" s="1">
        <v>3384</v>
      </c>
    </row>
    <row r="876" spans="1:16">
      <c r="A876" t="n" s="4">
        <v>872</v>
      </c>
      <c r="B876" s="2">
        <f>HYPERLINK("https://my.zakupki.prom.ua/remote/dispatcher/state_purchase_view/27738714", "UA-2021-06-24-004511-c")</f>
        <v/>
      </c>
      <c r="C876" t="s" s="2">
        <v>3102</v>
      </c>
      <c r="D876" s="2">
        <f>HYPERLINK("https://my.zakupki.prom.ua/remote/dispatcher/state_contracting_view/9496351", "UA-2021-06-24-004511-c-c1")</f>
        <v/>
      </c>
      <c r="E876" t="s" s="1">
        <v>39</v>
      </c>
      <c r="F876" t="s" s="1">
        <v>2356</v>
      </c>
      <c r="G876" t="s" s="1">
        <v>3381</v>
      </c>
      <c r="H876" t="s" s="1">
        <v>496</v>
      </c>
      <c r="I876" t="s" s="1">
        <v>2178</v>
      </c>
      <c r="J876" t="s" s="1">
        <v>2163</v>
      </c>
      <c r="K876" t="s" s="1">
        <v>724</v>
      </c>
      <c r="L876" t="s" s="1">
        <v>216</v>
      </c>
      <c r="M876" t="n" s="5">
        <v>5920.0</v>
      </c>
      <c r="N876" t="n" s="7">
        <v>44371.0</v>
      </c>
      <c r="O876" t="n" s="7">
        <v>44408.0</v>
      </c>
      <c r="P876" t="s" s="1">
        <v>3384</v>
      </c>
    </row>
    <row r="877" spans="1:16">
      <c r="A877" t="n" s="4">
        <v>873</v>
      </c>
      <c r="B877" s="2">
        <f>HYPERLINK("https://my.zakupki.prom.ua/remote/dispatcher/state_purchase_view/26620666", "UA-2021-05-18-002577-b")</f>
        <v/>
      </c>
      <c r="C877" t="s" s="2">
        <v>3102</v>
      </c>
      <c r="D877" s="2">
        <f>HYPERLINK("https://my.zakupki.prom.ua/remote/dispatcher/state_contracting_view/8925125", "UA-2021-05-18-002577-b-b1")</f>
        <v/>
      </c>
      <c r="E877" t="s" s="1">
        <v>1834</v>
      </c>
      <c r="F877" t="s" s="1">
        <v>2410</v>
      </c>
      <c r="G877" t="s" s="1">
        <v>2410</v>
      </c>
      <c r="H877" t="s" s="1">
        <v>659</v>
      </c>
      <c r="I877" t="s" s="1">
        <v>2178</v>
      </c>
      <c r="J877" t="s" s="1">
        <v>2163</v>
      </c>
      <c r="K877" t="s" s="1">
        <v>724</v>
      </c>
      <c r="L877" t="s" s="1">
        <v>127</v>
      </c>
      <c r="M877" t="n" s="5">
        <v>16962.91</v>
      </c>
      <c r="N877" t="n" s="7">
        <v>44333.0</v>
      </c>
      <c r="O877" t="n" s="7">
        <v>44408.0</v>
      </c>
      <c r="P877" t="s" s="1">
        <v>3384</v>
      </c>
    </row>
    <row r="878" spans="1:16">
      <c r="A878" t="n" s="4">
        <v>874</v>
      </c>
      <c r="B878" s="2">
        <f>HYPERLINK("https://my.zakupki.prom.ua/remote/dispatcher/state_purchase_view/27858686", "UA-2021-06-30-006478-c")</f>
        <v/>
      </c>
      <c r="C878" t="s" s="2">
        <v>3102</v>
      </c>
      <c r="D878" s="2">
        <f>HYPERLINK("https://my.zakupki.prom.ua/remote/dispatcher/state_contracting_view/9500197", "UA-2021-06-30-006478-c-c1")</f>
        <v/>
      </c>
      <c r="E878" t="s" s="1">
        <v>18</v>
      </c>
      <c r="F878" t="s" s="1">
        <v>2361</v>
      </c>
      <c r="G878" t="s" s="1">
        <v>2361</v>
      </c>
      <c r="H878" t="s" s="1">
        <v>496</v>
      </c>
      <c r="I878" t="s" s="1">
        <v>2178</v>
      </c>
      <c r="J878" t="s" s="1">
        <v>2163</v>
      </c>
      <c r="K878" t="s" s="1">
        <v>724</v>
      </c>
      <c r="L878" t="s" s="1">
        <v>241</v>
      </c>
      <c r="M878" t="n" s="5">
        <v>8190.0</v>
      </c>
      <c r="N878" t="n" s="7">
        <v>44377.0</v>
      </c>
      <c r="O878" t="n" s="7">
        <v>44408.0</v>
      </c>
      <c r="P878" t="s" s="1">
        <v>3384</v>
      </c>
    </row>
    <row r="879" spans="1:16">
      <c r="A879" t="n" s="4">
        <v>875</v>
      </c>
      <c r="B879" s="2">
        <f>HYPERLINK("https://my.zakupki.prom.ua/remote/dispatcher/state_purchase_view/27857947", "UA-2021-06-30-006224-c")</f>
        <v/>
      </c>
      <c r="C879" t="s" s="2">
        <v>3102</v>
      </c>
      <c r="D879" s="2">
        <f>HYPERLINK("https://my.zakupki.prom.ua/remote/dispatcher/state_contracting_view/9499874", "UA-2021-06-30-006224-c-c1")</f>
        <v/>
      </c>
      <c r="E879" t="s" s="1">
        <v>973</v>
      </c>
      <c r="F879" t="s" s="1">
        <v>2337</v>
      </c>
      <c r="G879" t="s" s="1">
        <v>2337</v>
      </c>
      <c r="H879" t="s" s="1">
        <v>377</v>
      </c>
      <c r="I879" t="s" s="1">
        <v>2178</v>
      </c>
      <c r="J879" t="s" s="1">
        <v>2163</v>
      </c>
      <c r="K879" t="s" s="1">
        <v>724</v>
      </c>
      <c r="L879" t="s" s="1">
        <v>190</v>
      </c>
      <c r="M879" t="n" s="5">
        <v>6939.0</v>
      </c>
      <c r="N879" t="n" s="7">
        <v>44377.0</v>
      </c>
      <c r="O879" t="n" s="7">
        <v>44408.0</v>
      </c>
      <c r="P879" t="s" s="1">
        <v>3384</v>
      </c>
    </row>
    <row r="880" spans="1:16">
      <c r="A880" t="n" s="4">
        <v>876</v>
      </c>
      <c r="B880" s="2">
        <f>HYPERLINK("https://my.zakupki.prom.ua/remote/dispatcher/state_purchase_view/26621404", "UA-2021-05-18-002849-b")</f>
        <v/>
      </c>
      <c r="C880" t="s" s="2">
        <v>3102</v>
      </c>
      <c r="D880" s="2">
        <f>HYPERLINK("https://my.zakupki.prom.ua/remote/dispatcher/state_contracting_view/8925496", "UA-2021-05-18-002849-b-b1")</f>
        <v/>
      </c>
      <c r="E880" t="s" s="1">
        <v>639</v>
      </c>
      <c r="F880" t="s" s="1">
        <v>2363</v>
      </c>
      <c r="G880" t="s" s="1">
        <v>2363</v>
      </c>
      <c r="H880" t="s" s="1">
        <v>496</v>
      </c>
      <c r="I880" t="s" s="1">
        <v>2178</v>
      </c>
      <c r="J880" t="s" s="1">
        <v>2163</v>
      </c>
      <c r="K880" t="s" s="1">
        <v>724</v>
      </c>
      <c r="L880" t="s" s="1">
        <v>167</v>
      </c>
      <c r="M880" t="n" s="5">
        <v>6220.0</v>
      </c>
      <c r="N880" t="n" s="7">
        <v>44333.0</v>
      </c>
      <c r="O880" t="n" s="7">
        <v>44408.0</v>
      </c>
      <c r="P880" t="s" s="1">
        <v>3384</v>
      </c>
    </row>
    <row r="881" spans="1:16">
      <c r="A881" t="n" s="4">
        <v>877</v>
      </c>
      <c r="B881" s="2">
        <f>HYPERLINK("https://my.zakupki.prom.ua/remote/dispatcher/state_purchase_view/26616169", "UA-2021-05-18-001331-b")</f>
        <v/>
      </c>
      <c r="C881" t="s" s="2">
        <v>3102</v>
      </c>
      <c r="D881" s="2">
        <f>HYPERLINK("https://my.zakupki.prom.ua/remote/dispatcher/state_contracting_view/8924147", "UA-2021-05-18-001331-b-b1")</f>
        <v/>
      </c>
      <c r="E881" t="s" s="1">
        <v>1672</v>
      </c>
      <c r="F881" t="s" s="1">
        <v>2690</v>
      </c>
      <c r="G881" t="s" s="1">
        <v>2690</v>
      </c>
      <c r="H881" t="s" s="1">
        <v>774</v>
      </c>
      <c r="I881" t="s" s="1">
        <v>2178</v>
      </c>
      <c r="J881" t="s" s="1">
        <v>3297</v>
      </c>
      <c r="K881" t="s" s="1">
        <v>522</v>
      </c>
      <c r="L881" t="s" s="1">
        <v>1227</v>
      </c>
      <c r="M881" t="n" s="5">
        <v>373930.0</v>
      </c>
      <c r="N881" t="n" s="7">
        <v>44334.0</v>
      </c>
      <c r="O881" t="n" s="7">
        <v>44377.0</v>
      </c>
      <c r="P881" t="s" s="1">
        <v>3384</v>
      </c>
    </row>
    <row r="882" spans="1:16">
      <c r="A882" t="n" s="4">
        <v>878</v>
      </c>
      <c r="B882" s="2">
        <f>HYPERLINK("https://my.zakupki.prom.ua/remote/dispatcher/state_purchase_view/27791312", "UA-2021-06-25-007445-c")</f>
        <v/>
      </c>
      <c r="C882" t="s" s="2">
        <v>3102</v>
      </c>
      <c r="D882" s="2">
        <f>HYPERLINK("https://my.zakupki.prom.ua/remote/dispatcher/state_contracting_view/9467686", "UA-2021-06-25-007445-c-c1")</f>
        <v/>
      </c>
      <c r="E882" t="s" s="1">
        <v>1981</v>
      </c>
      <c r="F882" t="s" s="1">
        <v>2898</v>
      </c>
      <c r="G882" t="s" s="1">
        <v>2898</v>
      </c>
      <c r="H882" t="s" s="1">
        <v>1097</v>
      </c>
      <c r="I882" t="s" s="1">
        <v>2178</v>
      </c>
      <c r="J882" t="s" s="1">
        <v>3272</v>
      </c>
      <c r="K882" t="s" s="1">
        <v>1003</v>
      </c>
      <c r="L882" t="s" s="1">
        <v>1329</v>
      </c>
      <c r="M882" t="n" s="5">
        <v>1170131.0</v>
      </c>
      <c r="N882" t="n" s="7">
        <v>44372.0</v>
      </c>
      <c r="O882" t="n" s="7">
        <v>44377.0</v>
      </c>
      <c r="P882" t="s" s="1">
        <v>3384</v>
      </c>
    </row>
    <row r="883" spans="1:16">
      <c r="A883" t="n" s="4">
        <v>879</v>
      </c>
      <c r="B883" s="2">
        <f>HYPERLINK("https://my.zakupki.prom.ua/remote/dispatcher/state_purchase_view/27213493", "UA-2021-06-07-001048-b")</f>
        <v/>
      </c>
      <c r="C883" t="s" s="2">
        <v>3102</v>
      </c>
      <c r="D883" s="2">
        <f>HYPERLINK("https://my.zakupki.prom.ua/remote/dispatcher/state_contracting_view/9195053", "UA-2021-06-07-001048-b-b1")</f>
        <v/>
      </c>
      <c r="E883" t="s" s="1">
        <v>1824</v>
      </c>
      <c r="F883" t="s" s="1">
        <v>2897</v>
      </c>
      <c r="G883" t="s" s="1">
        <v>2897</v>
      </c>
      <c r="H883" t="s" s="1">
        <v>1097</v>
      </c>
      <c r="I883" t="s" s="1">
        <v>2178</v>
      </c>
      <c r="J883" t="s" s="1">
        <v>3276</v>
      </c>
      <c r="K883" t="s" s="1">
        <v>897</v>
      </c>
      <c r="L883" t="s" s="1">
        <v>1265</v>
      </c>
      <c r="M883" t="n" s="5">
        <v>1036928.4</v>
      </c>
      <c r="N883" t="n" s="7">
        <v>44354.0</v>
      </c>
      <c r="O883" t="n" s="7">
        <v>44377.0</v>
      </c>
      <c r="P883" t="s" s="1">
        <v>3384</v>
      </c>
    </row>
    <row r="884" spans="1:16">
      <c r="A884" t="n" s="4">
        <v>880</v>
      </c>
      <c r="B884" s="2">
        <f>HYPERLINK("https://my.zakupki.prom.ua/remote/dispatcher/state_purchase_view/25203333", "UA-2021-03-24-005770-a")</f>
        <v/>
      </c>
      <c r="C884" t="s" s="2">
        <v>3102</v>
      </c>
      <c r="D884" s="2">
        <f>HYPERLINK("https://my.zakupki.prom.ua/remote/dispatcher/state_contracting_view/8243570", "UA-2021-03-24-005770-a-a1")</f>
        <v/>
      </c>
      <c r="E884" t="s" s="1">
        <v>1604</v>
      </c>
      <c r="F884" t="s" s="1">
        <v>3041</v>
      </c>
      <c r="G884" t="s" s="1">
        <v>3041</v>
      </c>
      <c r="H884" t="s" s="1">
        <v>1097</v>
      </c>
      <c r="I884" t="s" s="1">
        <v>2178</v>
      </c>
      <c r="J884" t="s" s="1">
        <v>3272</v>
      </c>
      <c r="K884" t="s" s="1">
        <v>1003</v>
      </c>
      <c r="L884" t="s" s="1">
        <v>576</v>
      </c>
      <c r="M884" t="n" s="5">
        <v>1330549.0</v>
      </c>
      <c r="N884" t="n" s="7">
        <v>44279.0</v>
      </c>
      <c r="O884" t="n" s="7">
        <v>44347.0</v>
      </c>
      <c r="P884" t="s" s="1">
        <v>3384</v>
      </c>
    </row>
    <row r="885" spans="1:16">
      <c r="A885" t="n" s="4">
        <v>881</v>
      </c>
      <c r="B885" s="2">
        <f>HYPERLINK("https://my.zakupki.prom.ua/remote/dispatcher/state_purchase_view/26856783", "UA-2021-05-25-005712-b")</f>
        <v/>
      </c>
      <c r="C885" t="s" s="2">
        <v>3102</v>
      </c>
      <c r="D885" s="2">
        <f>HYPERLINK("https://my.zakupki.prom.ua/remote/dispatcher/state_contracting_view/9023955", "UA-2021-05-25-005712-b-b1")</f>
        <v/>
      </c>
      <c r="E885" t="s" s="1">
        <v>1278</v>
      </c>
      <c r="F885" t="s" s="1">
        <v>2714</v>
      </c>
      <c r="G885" t="s" s="1">
        <v>2714</v>
      </c>
      <c r="H885" t="s" s="1">
        <v>782</v>
      </c>
      <c r="I885" t="s" s="1">
        <v>2178</v>
      </c>
      <c r="J885" t="s" s="1">
        <v>2162</v>
      </c>
      <c r="K885" t="s" s="1">
        <v>545</v>
      </c>
      <c r="L885" t="s" s="1">
        <v>1248</v>
      </c>
      <c r="M885" t="n" s="5">
        <v>1950.0</v>
      </c>
      <c r="N885" t="n" s="7">
        <v>44341.0</v>
      </c>
      <c r="O885" t="n" s="7">
        <v>44347.0</v>
      </c>
      <c r="P885" t="s" s="1">
        <v>3384</v>
      </c>
    </row>
    <row r="886" spans="1:16">
      <c r="A886" t="n" s="4">
        <v>882</v>
      </c>
      <c r="B886" s="2">
        <f>HYPERLINK("https://my.zakupki.prom.ua/remote/dispatcher/state_purchase_view/26055228", "UA-2021-04-22-003347-a")</f>
        <v/>
      </c>
      <c r="C886" t="s" s="2">
        <v>3102</v>
      </c>
      <c r="D886" s="2">
        <f>HYPERLINK("https://my.zakupki.prom.ua/remote/dispatcher/state_contracting_view/8640087", "UA-2021-04-22-003347-a-a1")</f>
        <v/>
      </c>
      <c r="E886" t="s" s="1">
        <v>76</v>
      </c>
      <c r="F886" t="s" s="1">
        <v>2902</v>
      </c>
      <c r="G886" t="s" s="1">
        <v>2902</v>
      </c>
      <c r="H886" t="s" s="1">
        <v>1097</v>
      </c>
      <c r="I886" t="s" s="1">
        <v>2178</v>
      </c>
      <c r="J886" t="s" s="1">
        <v>3272</v>
      </c>
      <c r="K886" t="s" s="1">
        <v>1003</v>
      </c>
      <c r="L886" t="s" s="1">
        <v>1029</v>
      </c>
      <c r="M886" t="n" s="5">
        <v>188321.0</v>
      </c>
      <c r="N886" t="n" s="7">
        <v>44308.0</v>
      </c>
      <c r="O886" t="n" s="7">
        <v>44316.0</v>
      </c>
      <c r="P886" t="s" s="1">
        <v>3384</v>
      </c>
    </row>
    <row r="887" spans="1:16">
      <c r="A887" t="n" s="4">
        <v>883</v>
      </c>
      <c r="B887" s="2">
        <f>HYPERLINK("https://my.zakupki.prom.ua/remote/dispatcher/state_purchase_view/26057856", "UA-2021-04-22-004176-a")</f>
        <v/>
      </c>
      <c r="C887" t="s" s="2">
        <v>3102</v>
      </c>
      <c r="D887" s="2">
        <f>HYPERLINK("https://my.zakupki.prom.ua/remote/dispatcher/state_contracting_view/8641641", "UA-2021-04-22-004176-a-a1")</f>
        <v/>
      </c>
      <c r="E887" t="s" s="1">
        <v>382</v>
      </c>
      <c r="F887" t="s" s="1">
        <v>2901</v>
      </c>
      <c r="G887" t="s" s="1">
        <v>2901</v>
      </c>
      <c r="H887" t="s" s="1">
        <v>1097</v>
      </c>
      <c r="I887" t="s" s="1">
        <v>2178</v>
      </c>
      <c r="J887" t="s" s="1">
        <v>3272</v>
      </c>
      <c r="K887" t="s" s="1">
        <v>1003</v>
      </c>
      <c r="L887" t="s" s="1">
        <v>1033</v>
      </c>
      <c r="M887" t="n" s="5">
        <v>196445.0</v>
      </c>
      <c r="N887" t="n" s="7">
        <v>44308.0</v>
      </c>
      <c r="O887" t="n" s="7">
        <v>44316.0</v>
      </c>
      <c r="P887" t="s" s="1">
        <v>3384</v>
      </c>
    </row>
    <row r="888" spans="1:16">
      <c r="A888" t="s" s="1">
        <v>2180</v>
      </c>
    </row>
  </sheetData>
  <autoFilter ref="A4:P887"/>
  <hyperlinks>
    <hyperlink display="mailto:report.zakupki@prom.ua" ref="A2" r:id="rId1"/>
    <hyperlink display="https://my.zakupki.prom.ua/remote/dispatcher/state_purchase_view/25252917" ref="B5" r:id="rId2"/>
    <hyperlink display="https://my.zakupki.prom.ua/remote/dispatcher/state_contracting_view/8276049" ref="D5" r:id="rId3"/>
    <hyperlink display="https://my.zakupki.prom.ua/remote/dispatcher/state_purchase_view/25261908" ref="B6" r:id="rId4"/>
    <hyperlink display="https://my.zakupki.prom.ua/remote/dispatcher/state_contracting_view/8281988" ref="D6" r:id="rId5"/>
    <hyperlink display="https://my.zakupki.prom.ua/remote/dispatcher/state_purchase_view/31921397" ref="B7" r:id="rId6"/>
    <hyperlink display="https://my.zakupki.prom.ua/remote/dispatcher/state_contracting_view/11384107" ref="D7" r:id="rId7"/>
    <hyperlink display="https://my.zakupki.prom.ua/remote/dispatcher/state_purchase_view/23183951" ref="B8" r:id="rId8"/>
    <hyperlink display="https://my.zakupki.prom.ua/remote/dispatcher/state_contracting_view/7304650" ref="D8" r:id="rId9"/>
    <hyperlink display="https://my.zakupki.prom.ua/remote/dispatcher/state_purchase_view/23048871" ref="B9" r:id="rId10"/>
    <hyperlink display="https://my.zakupki.prom.ua/remote/dispatcher/state_contracting_view/7254097" ref="D9" r:id="rId11"/>
    <hyperlink display="https://my.zakupki.prom.ua/remote/dispatcher/state_purchase_view/23415330" ref="B10" r:id="rId12"/>
    <hyperlink display="https://my.zakupki.prom.ua/remote/dispatcher/state_contracting_view/7402732" ref="D10" r:id="rId13"/>
    <hyperlink display="https://my.zakupki.prom.ua/remote/dispatcher/state_purchase_view/22935594" ref="B11" r:id="rId14"/>
    <hyperlink display="https://my.zakupki.prom.ua/remote/dispatcher/state_contracting_view/7215111" ref="D11" r:id="rId15"/>
    <hyperlink display="https://my.zakupki.prom.ua/remote/dispatcher/state_purchase_view/22967055" ref="B12" r:id="rId16"/>
    <hyperlink display="https://my.zakupki.prom.ua/remote/dispatcher/state_contracting_view/7225139" ref="D12" r:id="rId17"/>
    <hyperlink display="https://my.zakupki.prom.ua/remote/dispatcher/state_purchase_view/22872202" ref="B13" r:id="rId18"/>
    <hyperlink display="https://my.zakupki.prom.ua/remote/dispatcher/state_contracting_view/7206548" ref="D13" r:id="rId19"/>
    <hyperlink display="https://my.zakupki.prom.ua/remote/dispatcher/state_purchase_view/32451151" ref="B14" r:id="rId20"/>
    <hyperlink display="https://my.zakupki.prom.ua/remote/dispatcher/state_contracting_view/11627981" ref="D14" r:id="rId21"/>
    <hyperlink display="https://my.zakupki.prom.ua/remote/dispatcher/state_purchase_view/31108501" ref="B15" r:id="rId22"/>
    <hyperlink display="https://my.zakupki.prom.ua/remote/dispatcher/state_contracting_view/11016412" ref="D15" r:id="rId23"/>
    <hyperlink display="https://my.zakupki.prom.ua/remote/dispatcher/state_purchase_view/26372999" ref="B16" r:id="rId24"/>
    <hyperlink display="https://my.zakupki.prom.ua/remote/dispatcher/state_contracting_view/8794344" ref="D16" r:id="rId25"/>
    <hyperlink display="https://my.zakupki.prom.ua/remote/dispatcher/state_purchase_view/24290770" ref="B17" r:id="rId26"/>
    <hyperlink display="https://my.zakupki.prom.ua/remote/dispatcher/state_contracting_view/7799228" ref="D17" r:id="rId27"/>
    <hyperlink display="https://my.zakupki.prom.ua/remote/dispatcher/state_purchase_view/24093856" ref="B18" r:id="rId28"/>
    <hyperlink display="https://my.zakupki.prom.ua/remote/dispatcher/state_contracting_view/7713176" ref="D18" r:id="rId29"/>
    <hyperlink display="https://my.zakupki.prom.ua/remote/dispatcher/state_purchase_view/23996857" ref="B19" r:id="rId30"/>
    <hyperlink display="https://my.zakupki.prom.ua/remote/dispatcher/state_contracting_view/7664701" ref="D19" r:id="rId31"/>
    <hyperlink display="https://my.zakupki.prom.ua/remote/dispatcher/state_purchase_view/33147645" ref="B20" r:id="rId32"/>
    <hyperlink display="https://my.zakupki.prom.ua/remote/dispatcher/state_contracting_view/11991375" ref="D20" r:id="rId33"/>
    <hyperlink display="https://my.zakupki.prom.ua/remote/dispatcher/state_purchase_view/28155328" ref="B21" r:id="rId34"/>
    <hyperlink display="https://my.zakupki.prom.ua/remote/dispatcher/state_contracting_view/9641799" ref="D21" r:id="rId35"/>
    <hyperlink display="https://my.zakupki.prom.ua/remote/dispatcher/state_purchase_view/29150806" ref="B22" r:id="rId36"/>
    <hyperlink display="https://my.zakupki.prom.ua/remote/dispatcher/state_contracting_view/10105808" ref="D22" r:id="rId37"/>
    <hyperlink display="https://my.zakupki.prom.ua/remote/dispatcher/state_purchase_view/28186069" ref="B23" r:id="rId38"/>
    <hyperlink display="https://my.zakupki.prom.ua/remote/dispatcher/state_contracting_view/9654247" ref="D23" r:id="rId39"/>
    <hyperlink display="https://my.zakupki.prom.ua/remote/dispatcher/state_purchase_view/30275349" ref="B24" r:id="rId40"/>
    <hyperlink display="https://my.zakupki.prom.ua/remote/dispatcher/state_contracting_view/10627097" ref="D24" r:id="rId41"/>
    <hyperlink display="https://my.zakupki.prom.ua/remote/dispatcher/state_purchase_view/26257616" ref="B25" r:id="rId42"/>
    <hyperlink display="https://my.zakupki.prom.ua/remote/dispatcher/state_contracting_view/8738973" ref="D25" r:id="rId43"/>
    <hyperlink display="https://my.zakupki.prom.ua/remote/dispatcher/state_purchase_view/26256745" ref="B26" r:id="rId44"/>
    <hyperlink display="https://my.zakupki.prom.ua/remote/dispatcher/state_contracting_view/8739165" ref="D26" r:id="rId45"/>
    <hyperlink display="https://my.zakupki.prom.ua/remote/dispatcher/state_purchase_view/26275518" ref="B27" r:id="rId46"/>
    <hyperlink display="https://my.zakupki.prom.ua/remote/dispatcher/state_contracting_view/8746423" ref="D27" r:id="rId47"/>
    <hyperlink display="https://my.zakupki.prom.ua/remote/dispatcher/state_purchase_view/24743939" ref="B28" r:id="rId48"/>
    <hyperlink display="https://my.zakupki.prom.ua/remote/dispatcher/state_contracting_view/8014116" ref="D28" r:id="rId49"/>
    <hyperlink display="https://my.zakupki.prom.ua/remote/dispatcher/state_purchase_view/23276320" ref="B29" r:id="rId50"/>
    <hyperlink display="https://my.zakupki.prom.ua/remote/dispatcher/state_contracting_view/7942675" ref="D29" r:id="rId51"/>
    <hyperlink display="https://my.zakupki.prom.ua/remote/dispatcher/state_purchase_view/24576651" ref="B30" r:id="rId52"/>
    <hyperlink display="https://my.zakupki.prom.ua/remote/dispatcher/state_contracting_view/7938818" ref="D30" r:id="rId53"/>
    <hyperlink display="https://my.zakupki.prom.ua/remote/dispatcher/state_purchase_view/23361120" ref="B31" r:id="rId54"/>
    <hyperlink display="https://my.zakupki.prom.ua/remote/dispatcher/state_contracting_view/7378898" ref="D31" r:id="rId55"/>
    <hyperlink display="https://my.zakupki.prom.ua/remote/dispatcher/state_purchase_view/26401569" ref="B32" r:id="rId56"/>
    <hyperlink display="https://my.zakupki.prom.ua/remote/dispatcher/state_contracting_view/8809960" ref="D32" r:id="rId57"/>
    <hyperlink display="https://my.zakupki.prom.ua/remote/dispatcher/state_purchase_view/24962354" ref="B33" r:id="rId58"/>
    <hyperlink display="https://my.zakupki.prom.ua/remote/dispatcher/state_contracting_view/8118924" ref="D33" r:id="rId59"/>
    <hyperlink display="https://my.zakupki.prom.ua/remote/dispatcher/state_purchase_view/24902206" ref="B34" r:id="rId60"/>
    <hyperlink display="https://my.zakupki.prom.ua/remote/dispatcher/state_contracting_view/8091314" ref="D34" r:id="rId61"/>
    <hyperlink display="https://my.zakupki.prom.ua/remote/dispatcher/state_purchase_view/27188124" ref="B35" r:id="rId62"/>
    <hyperlink display="https://my.zakupki.prom.ua/remote/dispatcher/state_contracting_view/9180238" ref="D35" r:id="rId63"/>
    <hyperlink display="https://my.zakupki.prom.ua/remote/dispatcher/state_purchase_view/27774365" ref="B36" r:id="rId64"/>
    <hyperlink display="https://my.zakupki.prom.ua/remote/dispatcher/state_contracting_view/9465322" ref="D36" r:id="rId65"/>
    <hyperlink display="https://my.zakupki.prom.ua/remote/dispatcher/state_purchase_view/33035095" ref="B37" r:id="rId66"/>
    <hyperlink display="https://my.zakupki.prom.ua/remote/dispatcher/state_contracting_view/11925762" ref="D37" r:id="rId67"/>
    <hyperlink display="https://my.zakupki.prom.ua/remote/dispatcher/state_purchase_view/31884750" ref="B38" r:id="rId68"/>
    <hyperlink display="https://my.zakupki.prom.ua/remote/dispatcher/state_contracting_view/11367230" ref="D38" r:id="rId69"/>
    <hyperlink display="https://my.zakupki.prom.ua/remote/dispatcher/state_purchase_view/23575672" ref="B39" r:id="rId70"/>
    <hyperlink display="https://my.zakupki.prom.ua/remote/dispatcher/state_contracting_view/7471831" ref="D39" r:id="rId71"/>
    <hyperlink display="https://my.zakupki.prom.ua/remote/dispatcher/state_purchase_view/32925315" ref="B40" r:id="rId72"/>
    <hyperlink display="https://my.zakupki.prom.ua/remote/dispatcher/state_contracting_view/11849354" ref="D40" r:id="rId73"/>
    <hyperlink display="https://my.zakupki.prom.ua/remote/dispatcher/state_purchase_view/33550221" ref="B41" r:id="rId74"/>
    <hyperlink display="https://my.zakupki.prom.ua/remote/dispatcher/state_contracting_view/12152266" ref="D41" r:id="rId75"/>
    <hyperlink display="https://my.zakupki.prom.ua/remote/dispatcher/state_purchase_view/32212485" ref="B42" r:id="rId76"/>
    <hyperlink display="https://my.zakupki.prom.ua/remote/dispatcher/state_contracting_view/11517969" ref="D42" r:id="rId77"/>
    <hyperlink display="https://my.zakupki.prom.ua/remote/dispatcher/state_purchase_view/32214266" ref="B43" r:id="rId78"/>
    <hyperlink display="https://my.zakupki.prom.ua/remote/dispatcher/state_contracting_view/11519542" ref="D43" r:id="rId79"/>
    <hyperlink display="https://my.zakupki.prom.ua/remote/dispatcher/state_purchase_view/25485591" ref="B44" r:id="rId80"/>
    <hyperlink display="https://my.zakupki.prom.ua/remote/dispatcher/state_contracting_view/8371407" ref="D44" r:id="rId81"/>
    <hyperlink display="https://my.zakupki.prom.ua/remote/dispatcher/state_purchase_view/30148461" ref="B45" r:id="rId82"/>
    <hyperlink display="https://my.zakupki.prom.ua/remote/dispatcher/state_contracting_view/10568527" ref="D45" r:id="rId83"/>
    <hyperlink display="https://my.zakupki.prom.ua/remote/dispatcher/state_purchase_view/29431236" ref="B46" r:id="rId84"/>
    <hyperlink display="https://my.zakupki.prom.ua/remote/dispatcher/state_contracting_view/10237410" ref="D46" r:id="rId85"/>
    <hyperlink display="https://my.zakupki.prom.ua/remote/dispatcher/state_purchase_view/27778430" ref="B47" r:id="rId86"/>
    <hyperlink display="https://my.zakupki.prom.ua/remote/dispatcher/state_contracting_view/9464664" ref="D47" r:id="rId87"/>
    <hyperlink display="https://my.zakupki.prom.ua/remote/dispatcher/state_purchase_view/27776247" ref="B48" r:id="rId88"/>
    <hyperlink display="https://my.zakupki.prom.ua/remote/dispatcher/state_contracting_view/9465233" ref="D48" r:id="rId89"/>
    <hyperlink display="https://my.zakupki.prom.ua/remote/dispatcher/state_purchase_view/25207990" ref="B49" r:id="rId90"/>
    <hyperlink display="https://my.zakupki.prom.ua/remote/dispatcher/state_contracting_view/8248331" ref="D49" r:id="rId91"/>
    <hyperlink display="https://my.zakupki.prom.ua/remote/dispatcher/state_purchase_view/25838768" ref="B50" r:id="rId92"/>
    <hyperlink display="https://my.zakupki.prom.ua/remote/dispatcher/state_contracting_view/8784586" ref="D50" r:id="rId93"/>
    <hyperlink display="https://my.zakupki.prom.ua/remote/dispatcher/state_purchase_view/26236278" ref="B51" r:id="rId94"/>
    <hyperlink display="https://my.zakupki.prom.ua/remote/dispatcher/state_contracting_view/8733960" ref="D51" r:id="rId95"/>
    <hyperlink display="https://my.zakupki.prom.ua/remote/dispatcher/state_purchase_view/26233034" ref="B52" r:id="rId96"/>
    <hyperlink display="https://my.zakupki.prom.ua/remote/dispatcher/state_contracting_view/8734120" ref="D52" r:id="rId97"/>
    <hyperlink display="https://my.zakupki.prom.ua/remote/dispatcher/state_purchase_view/25645014" ref="B53" r:id="rId98"/>
    <hyperlink display="https://my.zakupki.prom.ua/remote/dispatcher/state_contracting_view/8444316" ref="D53" r:id="rId99"/>
    <hyperlink display="https://my.zakupki.prom.ua/remote/dispatcher/state_purchase_view/24793146" ref="B54" r:id="rId100"/>
    <hyperlink display="https://my.zakupki.prom.ua/remote/dispatcher/state_contracting_view/8044866" ref="D54" r:id="rId101"/>
    <hyperlink display="https://my.zakupki.prom.ua/remote/dispatcher/state_purchase_view/24918260" ref="B55" r:id="rId102"/>
    <hyperlink display="https://my.zakupki.prom.ua/remote/dispatcher/state_contracting_view/8113034" ref="D55" r:id="rId103"/>
    <hyperlink display="https://my.zakupki.prom.ua/remote/dispatcher/state_purchase_view/24772495" ref="B56" r:id="rId104"/>
    <hyperlink display="https://my.zakupki.prom.ua/remote/dispatcher/state_contracting_view/8027310" ref="D56" r:id="rId105"/>
    <hyperlink display="https://my.zakupki.prom.ua/remote/dispatcher/state_purchase_view/25589280" ref="B57" r:id="rId106"/>
    <hyperlink display="https://my.zakupki.prom.ua/remote/dispatcher/state_contracting_view/8419533" ref="D57" r:id="rId107"/>
    <hyperlink display="https://my.zakupki.prom.ua/remote/dispatcher/state_purchase_view/25367730" ref="B58" r:id="rId108"/>
    <hyperlink display="https://my.zakupki.prom.ua/remote/dispatcher/state_contracting_view/8312427" ref="D58" r:id="rId109"/>
    <hyperlink display="https://my.zakupki.prom.ua/remote/dispatcher/state_purchase_view/31747832" ref="B59" r:id="rId110"/>
    <hyperlink display="https://my.zakupki.prom.ua/remote/dispatcher/state_contracting_view/11883138" ref="D59" r:id="rId111"/>
    <hyperlink display="https://my.zakupki.prom.ua/remote/dispatcher/state_purchase_view/24018760" ref="B60" r:id="rId112"/>
    <hyperlink display="https://my.zakupki.prom.ua/remote/dispatcher/state_contracting_view/8064131" ref="D60" r:id="rId113"/>
    <hyperlink display="https://my.zakupki.prom.ua/remote/dispatcher/state_purchase_view/29490832" ref="B61" r:id="rId114"/>
    <hyperlink display="https://my.zakupki.prom.ua/remote/dispatcher/state_contracting_view/10265313" ref="D61" r:id="rId115"/>
    <hyperlink display="https://my.zakupki.prom.ua/remote/dispatcher/state_purchase_view/28756544" ref="B62" r:id="rId116"/>
    <hyperlink display="https://my.zakupki.prom.ua/remote/dispatcher/state_contracting_view/9922005" ref="D62" r:id="rId117"/>
    <hyperlink display="https://my.zakupki.prom.ua/remote/dispatcher/state_purchase_view/32919496" ref="B63" r:id="rId118"/>
    <hyperlink display="https://my.zakupki.prom.ua/remote/dispatcher/state_contracting_view/11845580" ref="D63" r:id="rId119"/>
    <hyperlink display="https://my.zakupki.prom.ua/remote/dispatcher/state_purchase_view/32431786" ref="B64" r:id="rId120"/>
    <hyperlink display="https://my.zakupki.prom.ua/remote/dispatcher/state_contracting_view/11619799" ref="D64" r:id="rId121"/>
    <hyperlink display="https://my.zakupki.prom.ua/remote/dispatcher/state_purchase_view/33784116" ref="B65" r:id="rId122"/>
    <hyperlink display="https://my.zakupki.prom.ua/remote/dispatcher/state_contracting_view/12269414" ref="D65" r:id="rId123"/>
    <hyperlink display="https://my.zakupki.prom.ua/remote/dispatcher/state_purchase_view/30406723" ref="B66" r:id="rId124"/>
    <hyperlink display="https://my.zakupki.prom.ua/remote/dispatcher/state_contracting_view/10694528" ref="D66" r:id="rId125"/>
    <hyperlink display="https://my.zakupki.prom.ua/remote/dispatcher/state_purchase_view/26754326" ref="B67" r:id="rId126"/>
    <hyperlink display="https://my.zakupki.prom.ua/remote/dispatcher/state_contracting_view/8974708" ref="D67" r:id="rId127"/>
    <hyperlink display="https://my.zakupki.prom.ua/remote/dispatcher/state_purchase_view/30300493" ref="B68" r:id="rId128"/>
    <hyperlink display="https://my.zakupki.prom.ua/remote/dispatcher/state_contracting_view/10644862" ref="D68" r:id="rId129"/>
    <hyperlink display="https://my.zakupki.prom.ua/remote/dispatcher/state_purchase_view/30300029" ref="B69" r:id="rId130"/>
    <hyperlink display="https://my.zakupki.prom.ua/remote/dispatcher/state_contracting_view/10644719" ref="D69" r:id="rId131"/>
    <hyperlink display="https://my.zakupki.prom.ua/remote/dispatcher/state_purchase_view/25239578" ref="B70" r:id="rId132"/>
    <hyperlink display="https://my.zakupki.prom.ua/remote/dispatcher/state_contracting_view/8273530" ref="D70" r:id="rId133"/>
    <hyperlink display="https://my.zakupki.prom.ua/remote/dispatcher/state_purchase_view/24741024" ref="B71" r:id="rId134"/>
    <hyperlink display="https://my.zakupki.prom.ua/remote/dispatcher/state_contracting_view/8012777" ref="D71" r:id="rId135"/>
    <hyperlink display="https://my.zakupki.prom.ua/remote/dispatcher/state_purchase_view/23994520" ref="B72" r:id="rId136"/>
    <hyperlink display="https://my.zakupki.prom.ua/remote/dispatcher/state_contracting_view/7663913" ref="D72" r:id="rId137"/>
    <hyperlink display="https://my.zakupki.prom.ua/remote/dispatcher/state_purchase_view/25659827" ref="B73" r:id="rId138"/>
    <hyperlink display="https://my.zakupki.prom.ua/remote/dispatcher/state_contracting_view/8450944" ref="D73" r:id="rId139"/>
    <hyperlink display="https://my.zakupki.prom.ua/remote/dispatcher/state_purchase_view/25859363" ref="B74" r:id="rId140"/>
    <hyperlink display="https://my.zakupki.prom.ua/remote/dispatcher/state_contracting_view/8546682" ref="D74" r:id="rId141"/>
    <hyperlink display="https://my.zakupki.prom.ua/remote/dispatcher/state_purchase_view/24967218" ref="B75" r:id="rId142"/>
    <hyperlink display="https://my.zakupki.prom.ua/remote/dispatcher/state_contracting_view/8121356" ref="D75" r:id="rId143"/>
    <hyperlink display="https://my.zakupki.prom.ua/remote/dispatcher/state_purchase_view/23345639" ref="B76" r:id="rId144"/>
    <hyperlink display="https://my.zakupki.prom.ua/remote/dispatcher/state_contracting_view/8225756" ref="D76" r:id="rId145"/>
    <hyperlink display="https://my.zakupki.prom.ua/remote/dispatcher/state_purchase_view/30276432" ref="B77" r:id="rId146"/>
    <hyperlink display="https://my.zakupki.prom.ua/remote/dispatcher/state_contracting_view/10627641" ref="D77" r:id="rId147"/>
    <hyperlink display="https://my.zakupki.prom.ua/remote/dispatcher/state_purchase_view/29910931" ref="B78" r:id="rId148"/>
    <hyperlink display="https://my.zakupki.prom.ua/remote/dispatcher/state_contracting_view/10460293" ref="D78" r:id="rId149"/>
    <hyperlink display="https://my.zakupki.prom.ua/remote/dispatcher/state_purchase_view/29982264" ref="B79" r:id="rId150"/>
    <hyperlink display="https://my.zakupki.prom.ua/remote/dispatcher/state_contracting_view/10565971" ref="D79" r:id="rId151"/>
    <hyperlink display="https://my.zakupki.prom.ua/remote/dispatcher/state_purchase_view/29284515" ref="B80" r:id="rId152"/>
    <hyperlink display="https://my.zakupki.prom.ua/remote/dispatcher/state_contracting_view/10169066" ref="D80" r:id="rId153"/>
    <hyperlink display="https://my.zakupki.prom.ua/remote/dispatcher/state_purchase_view/27159518" ref="B81" r:id="rId154"/>
    <hyperlink display="https://my.zakupki.prom.ua/remote/dispatcher/state_contracting_view/9167732" ref="D81" r:id="rId155"/>
    <hyperlink display="https://my.zakupki.prom.ua/remote/dispatcher/state_purchase_view/23771742" ref="B82" r:id="rId156"/>
    <hyperlink display="https://my.zakupki.prom.ua/remote/dispatcher/state_contracting_view/7558401" ref="D82" r:id="rId157"/>
    <hyperlink display="https://my.zakupki.prom.ua/remote/dispatcher/state_purchase_view/22933140" ref="B83" r:id="rId158"/>
    <hyperlink display="https://my.zakupki.prom.ua/remote/dispatcher/state_contracting_view/7214327" ref="D83" r:id="rId159"/>
    <hyperlink display="https://my.zakupki.prom.ua/remote/dispatcher/state_purchase_view/25164508" ref="B84" r:id="rId160"/>
    <hyperlink display="https://my.zakupki.prom.ua/remote/dispatcher/state_contracting_view/8220473" ref="D84" r:id="rId161"/>
    <hyperlink display="https://my.zakupki.prom.ua/remote/dispatcher/state_purchase_view/26233284" ref="B85" r:id="rId162"/>
    <hyperlink display="https://my.zakupki.prom.ua/remote/dispatcher/state_contracting_view/8734237" ref="D85" r:id="rId163"/>
    <hyperlink display="https://my.zakupki.prom.ua/remote/dispatcher/state_purchase_view/25635820" ref="B86" r:id="rId164"/>
    <hyperlink display="https://my.zakupki.prom.ua/remote/dispatcher/state_contracting_view/8443671" ref="D86" r:id="rId165"/>
    <hyperlink display="https://my.zakupki.prom.ua/remote/dispatcher/state_purchase_view/25060075" ref="B87" r:id="rId166"/>
    <hyperlink display="https://my.zakupki.prom.ua/remote/dispatcher/state_contracting_view/8165693" ref="D87" r:id="rId167"/>
    <hyperlink display="https://my.zakupki.prom.ua/remote/dispatcher/state_purchase_view/27155027" ref="B88" r:id="rId168"/>
    <hyperlink display="https://my.zakupki.prom.ua/remote/dispatcher/state_contracting_view/9522681" ref="D88" r:id="rId169"/>
    <hyperlink display="https://my.zakupki.prom.ua/remote/dispatcher/state_purchase_view/27770999" ref="B89" r:id="rId170"/>
    <hyperlink display="https://my.zakupki.prom.ua/remote/dispatcher/state_contracting_view/9465814" ref="D89" r:id="rId171"/>
    <hyperlink display="https://my.zakupki.prom.ua/remote/dispatcher/state_purchase_view/27776891" ref="B90" r:id="rId172"/>
    <hyperlink display="https://my.zakupki.prom.ua/remote/dispatcher/state_contracting_view/9465316" ref="D90" r:id="rId173"/>
    <hyperlink display="https://my.zakupki.prom.ua/remote/dispatcher/state_purchase_view/27352369" ref="B91" r:id="rId174"/>
    <hyperlink display="https://my.zakupki.prom.ua/remote/dispatcher/state_contracting_view/9259238" ref="D91" r:id="rId175"/>
    <hyperlink display="https://my.zakupki.prom.ua/remote/dispatcher/state_purchase_view/31257278" ref="B92" r:id="rId176"/>
    <hyperlink display="https://my.zakupki.prom.ua/remote/dispatcher/state_contracting_view/11078036" ref="D92" r:id="rId177"/>
    <hyperlink display="https://my.zakupki.prom.ua/remote/dispatcher/state_purchase_view/29433727" ref="B93" r:id="rId178"/>
    <hyperlink display="https://my.zakupki.prom.ua/remote/dispatcher/state_contracting_view/10238627" ref="D93" r:id="rId179"/>
    <hyperlink display="https://my.zakupki.prom.ua/remote/dispatcher/state_purchase_view/29433612" ref="B94" r:id="rId180"/>
    <hyperlink display="https://my.zakupki.prom.ua/remote/dispatcher/state_contracting_view/10238434" ref="D94" r:id="rId181"/>
    <hyperlink display="https://my.zakupki.prom.ua/remote/dispatcher/state_purchase_view/29434086" ref="B95" r:id="rId182"/>
    <hyperlink display="https://my.zakupki.prom.ua/remote/dispatcher/state_contracting_view/10238731" ref="D95" r:id="rId183"/>
    <hyperlink display="https://my.zakupki.prom.ua/remote/dispatcher/state_purchase_view/29430273" ref="B96" r:id="rId184"/>
    <hyperlink display="https://my.zakupki.prom.ua/remote/dispatcher/state_contracting_view/10237077" ref="D96" r:id="rId185"/>
    <hyperlink display="https://my.zakupki.prom.ua/remote/dispatcher/state_purchase_view/29429020" ref="B97" r:id="rId186"/>
    <hyperlink display="https://my.zakupki.prom.ua/remote/dispatcher/state_contracting_view/10236584" ref="D97" r:id="rId187"/>
    <hyperlink display="https://my.zakupki.prom.ua/remote/dispatcher/state_purchase_view/29428745" ref="B98" r:id="rId188"/>
    <hyperlink display="https://my.zakupki.prom.ua/remote/dispatcher/state_contracting_view/10236416" ref="D98" r:id="rId189"/>
    <hyperlink display="https://my.zakupki.prom.ua/remote/dispatcher/state_purchase_view/27744959" ref="B99" r:id="rId190"/>
    <hyperlink display="https://my.zakupki.prom.ua/remote/dispatcher/state_contracting_view/9445159" ref="D99" r:id="rId191"/>
    <hyperlink display="https://my.zakupki.prom.ua/remote/dispatcher/state_purchase_view/30256340" ref="B100" r:id="rId192"/>
    <hyperlink display="https://my.zakupki.prom.ua/remote/dispatcher/state_contracting_view/10618848" ref="D100" r:id="rId193"/>
    <hyperlink display="https://my.zakupki.prom.ua/remote/dispatcher/state_purchase_view/30312303" ref="B101" r:id="rId194"/>
    <hyperlink display="https://my.zakupki.prom.ua/remote/dispatcher/state_contracting_view/10644892" ref="D101" r:id="rId195"/>
    <hyperlink display="https://my.zakupki.prom.ua/remote/dispatcher/state_purchase_view/27063078" ref="B102" r:id="rId196"/>
    <hyperlink display="https://my.zakupki.prom.ua/remote/dispatcher/state_contracting_view/9125521" ref="D102" r:id="rId197"/>
    <hyperlink display="https://my.zakupki.prom.ua/remote/dispatcher/state_purchase_view/27064337" ref="B103" r:id="rId198"/>
    <hyperlink display="https://my.zakupki.prom.ua/remote/dispatcher/state_contracting_view/9125899" ref="D103" r:id="rId199"/>
    <hyperlink display="https://my.zakupki.prom.ua/remote/dispatcher/state_purchase_view/22967979" ref="B104" r:id="rId200"/>
    <hyperlink display="https://my.zakupki.prom.ua/remote/dispatcher/state_contracting_view/7475476" ref="D104" r:id="rId201"/>
    <hyperlink display="https://my.zakupki.prom.ua/remote/dispatcher/state_purchase_view/24898326" ref="B105" r:id="rId202"/>
    <hyperlink display="https://my.zakupki.prom.ua/remote/dispatcher/state_contracting_view/8088392" ref="D105" r:id="rId203"/>
    <hyperlink display="https://my.zakupki.prom.ua/remote/dispatcher/state_purchase_view/26275224" ref="B106" r:id="rId204"/>
    <hyperlink display="https://my.zakupki.prom.ua/remote/dispatcher/state_contracting_view/8746329" ref="D106" r:id="rId205"/>
    <hyperlink display="https://my.zakupki.prom.ua/remote/dispatcher/state_purchase_view/25436464" ref="B107" r:id="rId206"/>
    <hyperlink display="https://my.zakupki.prom.ua/remote/dispatcher/state_contracting_view/8345264" ref="D107" r:id="rId207"/>
    <hyperlink display="https://my.zakupki.prom.ua/remote/dispatcher/state_purchase_view/26612395" ref="B108" r:id="rId208"/>
    <hyperlink display="https://my.zakupki.prom.ua/remote/dispatcher/state_contracting_view/8907359" ref="D108" r:id="rId209"/>
    <hyperlink display="https://my.zakupki.prom.ua/remote/dispatcher/state_purchase_view/26302754" ref="B109" r:id="rId210"/>
    <hyperlink display="https://my.zakupki.prom.ua/remote/dispatcher/state_contracting_view/8774470" ref="D109" r:id="rId211"/>
    <hyperlink display="https://my.zakupki.prom.ua/remote/dispatcher/state_purchase_view/26302252" ref="B110" r:id="rId212"/>
    <hyperlink display="https://my.zakupki.prom.ua/remote/dispatcher/state_contracting_view/8774685" ref="D110" r:id="rId213"/>
    <hyperlink display="https://my.zakupki.prom.ua/remote/dispatcher/state_purchase_view/30255665" ref="B111" r:id="rId214"/>
    <hyperlink display="https://my.zakupki.prom.ua/remote/dispatcher/state_contracting_view/10618197" ref="D111" r:id="rId215"/>
    <hyperlink display="https://my.zakupki.prom.ua/remote/dispatcher/state_purchase_view/30747512" ref="B112" r:id="rId216"/>
    <hyperlink display="https://my.zakupki.prom.ua/remote/dispatcher/state_contracting_view/10844407" ref="D112" r:id="rId217"/>
    <hyperlink display="https://my.zakupki.prom.ua/remote/dispatcher/state_purchase_view/25630259" ref="B113" r:id="rId218"/>
    <hyperlink display="https://my.zakupki.prom.ua/remote/dispatcher/state_contracting_view/8442620" ref="D113" r:id="rId219"/>
    <hyperlink display="https://my.zakupki.prom.ua/remote/dispatcher/state_purchase_view/25631613" ref="B114" r:id="rId220"/>
    <hyperlink display="https://my.zakupki.prom.ua/remote/dispatcher/state_contracting_view/8442784" ref="D114" r:id="rId221"/>
    <hyperlink display="https://my.zakupki.prom.ua/remote/dispatcher/state_purchase_view/25559743" ref="B115" r:id="rId222"/>
    <hyperlink display="https://my.zakupki.prom.ua/remote/dispatcher/state_contracting_view/8405652" ref="D115" r:id="rId223"/>
    <hyperlink display="https://my.zakupki.prom.ua/remote/dispatcher/state_purchase_view/31906559" ref="B116" r:id="rId224"/>
    <hyperlink display="https://my.zakupki.prom.ua/remote/dispatcher/state_contracting_view/11377057" ref="D116" r:id="rId225"/>
    <hyperlink display="https://my.zakupki.prom.ua/remote/dispatcher/state_purchase_view/29514118" ref="B117" r:id="rId226"/>
    <hyperlink display="https://my.zakupki.prom.ua/remote/dispatcher/state_contracting_view/10285082" ref="D117" r:id="rId227"/>
    <hyperlink display="https://my.zakupki.prom.ua/remote/dispatcher/state_purchase_view/32922756" ref="B118" r:id="rId228"/>
    <hyperlink display="https://my.zakupki.prom.ua/remote/dispatcher/state_contracting_view/11847623" ref="D118" r:id="rId229"/>
    <hyperlink display="https://my.zakupki.prom.ua/remote/dispatcher/state_purchase_view/23860695" ref="B119" r:id="rId230"/>
    <hyperlink display="https://my.zakupki.prom.ua/remote/dispatcher/state_contracting_view/7599322" ref="D119" r:id="rId231"/>
    <hyperlink display="https://my.zakupki.prom.ua/remote/dispatcher/state_purchase_view/23200793" ref="B120" r:id="rId232"/>
    <hyperlink display="https://my.zakupki.prom.ua/remote/dispatcher/state_contracting_view/7311740" ref="D120" r:id="rId233"/>
    <hyperlink display="https://my.zakupki.prom.ua/remote/dispatcher/state_purchase_view/22931323" ref="B121" r:id="rId234"/>
    <hyperlink display="https://my.zakupki.prom.ua/remote/dispatcher/state_contracting_view/7213911" ref="D121" r:id="rId235"/>
    <hyperlink display="https://my.zakupki.prom.ua/remote/dispatcher/state_purchase_view/22929263" ref="B122" r:id="rId236"/>
    <hyperlink display="https://my.zakupki.prom.ua/remote/dispatcher/state_contracting_view/7213014" ref="D122" r:id="rId237"/>
    <hyperlink display="https://my.zakupki.prom.ua/remote/dispatcher/state_purchase_view/22928420" ref="B123" r:id="rId238"/>
    <hyperlink display="https://my.zakupki.prom.ua/remote/dispatcher/state_contracting_view/7212699" ref="D123" r:id="rId239"/>
    <hyperlink display="https://my.zakupki.prom.ua/remote/dispatcher/state_purchase_view/25368867" ref="B124" r:id="rId240"/>
    <hyperlink display="https://my.zakupki.prom.ua/remote/dispatcher/state_contracting_view/8313168" ref="D124" r:id="rId241"/>
    <hyperlink display="https://my.zakupki.prom.ua/remote/dispatcher/state_purchase_view/24381988" ref="B125" r:id="rId242"/>
    <hyperlink display="https://my.zakupki.prom.ua/remote/dispatcher/state_contracting_view/7936589" ref="D125" r:id="rId243"/>
    <hyperlink display="https://my.zakupki.prom.ua/remote/dispatcher/state_purchase_view/33444156" ref="B126" r:id="rId244"/>
    <hyperlink display="https://my.zakupki.prom.ua/remote/dispatcher/state_contracting_view/12100059" ref="D126" r:id="rId245"/>
    <hyperlink display="https://my.zakupki.prom.ua/remote/dispatcher/state_purchase_view/33791661" ref="B127" r:id="rId246"/>
    <hyperlink display="https://my.zakupki.prom.ua/remote/dispatcher/state_contracting_view/12272543" ref="D127" r:id="rId247"/>
    <hyperlink display="https://my.zakupki.prom.ua/remote/dispatcher/state_purchase_view/25263494" ref="B128" r:id="rId248"/>
    <hyperlink display="https://my.zakupki.prom.ua/remote/dispatcher/state_contracting_view/8282811" ref="D128" r:id="rId249"/>
    <hyperlink display="https://my.zakupki.prom.ua/remote/dispatcher/state_purchase_view/25254229" ref="B129" r:id="rId250"/>
    <hyperlink display="https://my.zakupki.prom.ua/remote/dispatcher/state_contracting_view/8277004" ref="D129" r:id="rId251"/>
    <hyperlink display="https://my.zakupki.prom.ua/remote/dispatcher/state_purchase_view/25352272" ref="B130" r:id="rId252"/>
    <hyperlink display="https://my.zakupki.prom.ua/remote/dispatcher/state_contracting_view/8305015" ref="D130" r:id="rId253"/>
    <hyperlink display="https://my.zakupki.prom.ua/remote/dispatcher/state_purchase_view/24870539" ref="B131" r:id="rId254"/>
    <hyperlink display="https://my.zakupki.prom.ua/remote/dispatcher/state_contracting_view/8085388" ref="D131" r:id="rId255"/>
    <hyperlink display="https://my.zakupki.prom.ua/remote/dispatcher/state_purchase_view/24870067" ref="B132" r:id="rId256"/>
    <hyperlink display="https://my.zakupki.prom.ua/remote/dispatcher/state_contracting_view/8085273" ref="D132" r:id="rId257"/>
    <hyperlink display="https://my.zakupki.prom.ua/remote/dispatcher/state_purchase_view/24867859" ref="B133" r:id="rId258"/>
    <hyperlink display="https://my.zakupki.prom.ua/remote/dispatcher/state_contracting_view/8085238" ref="D133" r:id="rId259"/>
    <hyperlink display="https://my.zakupki.prom.ua/remote/dispatcher/state_purchase_view/24866451" ref="B134" r:id="rId260"/>
    <hyperlink display="https://my.zakupki.prom.ua/remote/dispatcher/state_contracting_view/8072490" ref="D134" r:id="rId261"/>
    <hyperlink display="https://my.zakupki.prom.ua/remote/dispatcher/state_purchase_view/24788791" ref="B135" r:id="rId262"/>
    <hyperlink display="https://my.zakupki.prom.ua/remote/dispatcher/state_contracting_view/8044440" ref="D135" r:id="rId263"/>
    <hyperlink display="https://my.zakupki.prom.ua/remote/dispatcher/state_purchase_view/24747455" ref="B136" r:id="rId264"/>
    <hyperlink display="https://my.zakupki.prom.ua/remote/dispatcher/state_contracting_view/8021577" ref="D136" r:id="rId265"/>
    <hyperlink display="https://my.zakupki.prom.ua/remote/dispatcher/state_purchase_view/24789268" ref="B137" r:id="rId266"/>
    <hyperlink display="https://my.zakupki.prom.ua/remote/dispatcher/state_contracting_view/8045211" ref="D137" r:id="rId267"/>
    <hyperlink display="https://my.zakupki.prom.ua/remote/dispatcher/state_purchase_view/24742601" ref="B138" r:id="rId268"/>
    <hyperlink display="https://my.zakupki.prom.ua/remote/dispatcher/state_contracting_view/8013548" ref="D138" r:id="rId269"/>
    <hyperlink display="https://my.zakupki.prom.ua/remote/dispatcher/state_purchase_view/25075115" ref="B139" r:id="rId270"/>
    <hyperlink display="https://my.zakupki.prom.ua/remote/dispatcher/state_contracting_view/8180551" ref="D139" r:id="rId271"/>
    <hyperlink display="https://my.zakupki.prom.ua/remote/dispatcher/state_purchase_view/25074872" ref="B140" r:id="rId272"/>
    <hyperlink display="https://my.zakupki.prom.ua/remote/dispatcher/state_contracting_view/8180634" ref="D140" r:id="rId273"/>
    <hyperlink display="https://my.zakupki.prom.ua/remote/dispatcher/state_purchase_view/25061117" ref="B141" r:id="rId274"/>
    <hyperlink display="https://my.zakupki.prom.ua/remote/dispatcher/state_contracting_view/8166305" ref="D141" r:id="rId275"/>
    <hyperlink display="https://my.zakupki.prom.ua/remote/dispatcher/state_purchase_view/24918735" ref="B142" r:id="rId276"/>
    <hyperlink display="https://my.zakupki.prom.ua/remote/dispatcher/state_contracting_view/8113894" ref="D142" r:id="rId277"/>
    <hyperlink display="https://my.zakupki.prom.ua/remote/dispatcher/state_purchase_view/24427536" ref="B143" r:id="rId278"/>
    <hyperlink display="https://my.zakupki.prom.ua/remote/dispatcher/state_contracting_view/8141917" ref="D143" r:id="rId279"/>
    <hyperlink display="https://my.zakupki.prom.ua/remote/dispatcher/state_purchase_view/25255211" ref="B144" r:id="rId280"/>
    <hyperlink display="https://my.zakupki.prom.ua/remote/dispatcher/state_contracting_view/8277487" ref="D144" r:id="rId281"/>
    <hyperlink display="https://my.zakupki.prom.ua/remote/dispatcher/state_purchase_view/25188408" ref="B145" r:id="rId282"/>
    <hyperlink display="https://my.zakupki.prom.ua/remote/dispatcher/state_contracting_view/8235165" ref="D145" r:id="rId283"/>
    <hyperlink display="https://my.zakupki.prom.ua/remote/dispatcher/state_purchase_view/25105001" ref="B146" r:id="rId284"/>
    <hyperlink display="https://my.zakupki.prom.ua/remote/dispatcher/state_contracting_view/8187085" ref="D146" r:id="rId285"/>
    <hyperlink display="https://my.zakupki.prom.ua/remote/dispatcher/state_purchase_view/26612828" ref="B147" r:id="rId286"/>
    <hyperlink display="https://my.zakupki.prom.ua/remote/dispatcher/state_contracting_view/8907444" ref="D147" r:id="rId287"/>
    <hyperlink display="https://my.zakupki.prom.ua/remote/dispatcher/state_purchase_view/26105177" ref="B148" r:id="rId288"/>
    <hyperlink display="https://my.zakupki.prom.ua/remote/dispatcher/state_contracting_view/8663930" ref="D148" r:id="rId289"/>
    <hyperlink display="https://my.zakupki.prom.ua/remote/dispatcher/state_purchase_view/26460369" ref="B149" r:id="rId290"/>
    <hyperlink display="https://my.zakupki.prom.ua/remote/dispatcher/state_contracting_view/8837331" ref="D149" r:id="rId291"/>
    <hyperlink display="https://my.zakupki.prom.ua/remote/dispatcher/state_purchase_view/32214710" ref="B150" r:id="rId292"/>
    <hyperlink display="https://my.zakupki.prom.ua/remote/dispatcher/state_contracting_view/11519617" ref="D150" r:id="rId293"/>
    <hyperlink display="https://my.zakupki.prom.ua/remote/dispatcher/state_purchase_view/30712329" ref="B151" r:id="rId294"/>
    <hyperlink display="https://my.zakupki.prom.ua/remote/dispatcher/state_contracting_view/10839681" ref="D151" r:id="rId295"/>
    <hyperlink display="https://my.zakupki.prom.ua/remote/dispatcher/state_purchase_view/26261153" ref="B152" r:id="rId296"/>
    <hyperlink display="https://my.zakupki.prom.ua/remote/dispatcher/state_contracting_view/8739636" ref="D152" r:id="rId297"/>
    <hyperlink display="https://my.zakupki.prom.ua/remote/dispatcher/state_purchase_view/23413095" ref="B153" r:id="rId298"/>
    <hyperlink display="https://my.zakupki.prom.ua/remote/dispatcher/state_contracting_view/7401631" ref="D153" r:id="rId299"/>
    <hyperlink display="https://my.zakupki.prom.ua/remote/dispatcher/state_purchase_view/29282824" ref="B154" r:id="rId300"/>
    <hyperlink display="https://my.zakupki.prom.ua/remote/dispatcher/state_contracting_view/10168267" ref="D154" r:id="rId301"/>
    <hyperlink display="https://my.zakupki.prom.ua/remote/dispatcher/state_purchase_view/27904214" ref="B155" r:id="rId302"/>
    <hyperlink display="https://my.zakupki.prom.ua/remote/dispatcher/state_contracting_view/9521664" ref="D155" r:id="rId303"/>
    <hyperlink display="https://my.zakupki.prom.ua/remote/dispatcher/state_purchase_view/30809559" ref="B156" r:id="rId304"/>
    <hyperlink display="https://my.zakupki.prom.ua/remote/dispatcher/state_contracting_view/10892058" ref="D156" r:id="rId305"/>
    <hyperlink display="https://my.zakupki.prom.ua/remote/dispatcher/state_purchase_view/26051362" ref="B157" r:id="rId306"/>
    <hyperlink display="https://my.zakupki.prom.ua/remote/dispatcher/state_contracting_view/8638149" ref="D157" r:id="rId307"/>
    <hyperlink display="https://my.zakupki.prom.ua/remote/dispatcher/state_purchase_view/25554565" ref="B158" r:id="rId308"/>
    <hyperlink display="https://my.zakupki.prom.ua/remote/dispatcher/state_contracting_view/8401334" ref="D158" r:id="rId309"/>
    <hyperlink display="https://my.zakupki.prom.ua/remote/dispatcher/state_purchase_view/31611500" ref="B159" r:id="rId310"/>
    <hyperlink display="https://my.zakupki.prom.ua/remote/dispatcher/state_contracting_view/11244351" ref="D159" r:id="rId311"/>
    <hyperlink display="https://my.zakupki.prom.ua/remote/dispatcher/state_purchase_view/30587346" ref="B160" r:id="rId312"/>
    <hyperlink display="https://my.zakupki.prom.ua/remote/dispatcher/state_contracting_view/10770464" ref="D160" r:id="rId313"/>
    <hyperlink display="https://my.zakupki.prom.ua/remote/dispatcher/state_purchase_view/31813018" ref="B161" r:id="rId314"/>
    <hyperlink display="https://my.zakupki.prom.ua/remote/dispatcher/state_contracting_view/11362930" ref="D161" r:id="rId315"/>
    <hyperlink display="https://my.zakupki.prom.ua/remote/dispatcher/state_purchase_view/33228256" ref="B162" r:id="rId316"/>
    <hyperlink display="https://my.zakupki.prom.ua/remote/dispatcher/state_contracting_view/11995073" ref="D162" r:id="rId317"/>
    <hyperlink display="https://my.zakupki.prom.ua/remote/dispatcher/state_purchase_view/32653752" ref="B163" r:id="rId318"/>
    <hyperlink display="https://my.zakupki.prom.ua/remote/dispatcher/state_contracting_view/11720915" ref="D163" r:id="rId319"/>
    <hyperlink display="https://my.zakupki.prom.ua/remote/dispatcher/state_purchase_view/26726459" ref="B164" r:id="rId320"/>
    <hyperlink display="https://my.zakupki.prom.ua/remote/dispatcher/state_contracting_view/8969025" ref="D164" r:id="rId321"/>
    <hyperlink display="https://my.zakupki.prom.ua/remote/dispatcher/state_purchase_view/30149772" ref="B165" r:id="rId322"/>
    <hyperlink display="https://my.zakupki.prom.ua/remote/dispatcher/state_contracting_view/10568959" ref="D165" r:id="rId323"/>
    <hyperlink display="https://my.zakupki.prom.ua/remote/dispatcher/state_purchase_view/30154162" ref="B166" r:id="rId324"/>
    <hyperlink display="https://my.zakupki.prom.ua/remote/dispatcher/state_contracting_view/10571117" ref="D166" r:id="rId325"/>
    <hyperlink display="https://my.zakupki.prom.ua/remote/dispatcher/state_purchase_view/29434890" ref="B167" r:id="rId326"/>
    <hyperlink display="https://my.zakupki.prom.ua/remote/dispatcher/state_contracting_view/10239337" ref="D167" r:id="rId327"/>
    <hyperlink display="https://my.zakupki.prom.ua/remote/dispatcher/state_purchase_view/27811366" ref="B168" r:id="rId328"/>
    <hyperlink display="https://my.zakupki.prom.ua/remote/dispatcher/state_contracting_view/9641753" ref="D168" r:id="rId329"/>
    <hyperlink display="https://my.zakupki.prom.ua/remote/dispatcher/state_purchase_view/27770647" ref="B169" r:id="rId330"/>
    <hyperlink display="https://my.zakupki.prom.ua/remote/dispatcher/state_contracting_view/9466218" ref="D169" r:id="rId331"/>
    <hyperlink display="https://my.zakupki.prom.ua/remote/dispatcher/state_purchase_view/27313725" ref="B170" r:id="rId332"/>
    <hyperlink display="https://my.zakupki.prom.ua/remote/dispatcher/state_contracting_view/9240393" ref="D170" r:id="rId333"/>
    <hyperlink display="https://my.zakupki.prom.ua/remote/dispatcher/state_purchase_view/27299545" ref="B171" r:id="rId334"/>
    <hyperlink display="https://my.zakupki.prom.ua/remote/dispatcher/state_contracting_view/9233658" ref="D171" r:id="rId335"/>
    <hyperlink display="https://my.zakupki.prom.ua/remote/dispatcher/state_purchase_view/26546356" ref="B172" r:id="rId336"/>
    <hyperlink display="https://my.zakupki.prom.ua/remote/dispatcher/state_contracting_view/9151186" ref="D172" r:id="rId337"/>
    <hyperlink display="https://my.zakupki.prom.ua/remote/dispatcher/state_purchase_view/25484361" ref="B173" r:id="rId338"/>
    <hyperlink display="https://my.zakupki.prom.ua/remote/dispatcher/state_contracting_view/8370861" ref="D173" r:id="rId339"/>
    <hyperlink display="https://my.zakupki.prom.ua/remote/dispatcher/state_purchase_view/25486497" ref="B174" r:id="rId340"/>
    <hyperlink display="https://my.zakupki.prom.ua/remote/dispatcher/state_contracting_view/8371785" ref="D174" r:id="rId341"/>
    <hyperlink display="https://my.zakupki.prom.ua/remote/dispatcher/state_purchase_view/28572919" ref="B175" r:id="rId342"/>
    <hyperlink display="https://my.zakupki.prom.ua/remote/dispatcher/state_contracting_view/9837156" ref="D175" r:id="rId343"/>
    <hyperlink display="https://my.zakupki.prom.ua/remote/dispatcher/state_purchase_view/28458578" ref="B176" r:id="rId344"/>
    <hyperlink display="https://my.zakupki.prom.ua/remote/dispatcher/state_contracting_view/9782827" ref="D176" r:id="rId345"/>
    <hyperlink display="https://my.zakupki.prom.ua/remote/dispatcher/state_purchase_view/30287828" ref="B177" r:id="rId346"/>
    <hyperlink display="https://my.zakupki.prom.ua/remote/dispatcher/state_contracting_view/10633066" ref="D177" r:id="rId347"/>
    <hyperlink display="https://my.zakupki.prom.ua/remote/dispatcher/state_purchase_view/25873786" ref="B178" r:id="rId348"/>
    <hyperlink display="https://my.zakupki.prom.ua/remote/dispatcher/state_contracting_view/8786616" ref="D178" r:id="rId349"/>
    <hyperlink display="https://my.zakupki.prom.ua/remote/dispatcher/state_purchase_view/29433244" ref="B179" r:id="rId350"/>
    <hyperlink display="https://my.zakupki.prom.ua/remote/dispatcher/state_contracting_view/10238349" ref="D179" r:id="rId351"/>
    <hyperlink display="https://my.zakupki.prom.ua/remote/dispatcher/state_purchase_view/25587209" ref="B180" r:id="rId352"/>
    <hyperlink display="https://my.zakupki.prom.ua/remote/dispatcher/state_contracting_view/8416905" ref="D180" r:id="rId353"/>
    <hyperlink display="https://my.zakupki.prom.ua/remote/dispatcher/state_purchase_view/28021875" ref="B181" r:id="rId354"/>
    <hyperlink display="https://my.zakupki.prom.ua/remote/dispatcher/state_contracting_view/9577502" ref="D181" r:id="rId355"/>
    <hyperlink display="https://my.zakupki.prom.ua/remote/dispatcher/state_purchase_view/32149054" ref="B182" r:id="rId356"/>
    <hyperlink display="https://my.zakupki.prom.ua/remote/dispatcher/state_contracting_view/12086595" ref="D182" r:id="rId357"/>
    <hyperlink display="https://my.zakupki.prom.ua/remote/dispatcher/state_purchase_view/26415279" ref="B183" r:id="rId358"/>
    <hyperlink display="https://my.zakupki.prom.ua/remote/dispatcher/state_contracting_view/8814148" ref="D183" r:id="rId359"/>
    <hyperlink display="https://my.zakupki.prom.ua/remote/dispatcher/state_purchase_view/26335918" ref="B184" r:id="rId360"/>
    <hyperlink display="https://my.zakupki.prom.ua/remote/dispatcher/state_contracting_view/8777889" ref="D184" r:id="rId361"/>
    <hyperlink display="https://my.zakupki.prom.ua/remote/dispatcher/state_purchase_view/26603438" ref="B185" r:id="rId362"/>
    <hyperlink display="https://my.zakupki.prom.ua/remote/dispatcher/state_contracting_view/8903063" ref="D185" r:id="rId363"/>
    <hyperlink display="https://my.zakupki.prom.ua/remote/dispatcher/state_purchase_view/25603824" ref="B186" r:id="rId364"/>
    <hyperlink display="https://my.zakupki.prom.ua/remote/dispatcher/state_contracting_view/8425409" ref="D186" r:id="rId365"/>
    <hyperlink display="https://my.zakupki.prom.ua/remote/dispatcher/state_purchase_view/25590619" ref="B187" r:id="rId366"/>
    <hyperlink display="https://my.zakupki.prom.ua/remote/dispatcher/state_contracting_view/8419944" ref="D187" r:id="rId367"/>
    <hyperlink display="https://my.zakupki.prom.ua/remote/dispatcher/state_purchase_view/25532391" ref="B188" r:id="rId368"/>
    <hyperlink display="https://my.zakupki.prom.ua/remote/dispatcher/state_contracting_view/8390779" ref="D188" r:id="rId369"/>
    <hyperlink display="https://my.zakupki.prom.ua/remote/dispatcher/state_purchase_view/25526328" ref="B189" r:id="rId370"/>
    <hyperlink display="https://my.zakupki.prom.ua/remote/dispatcher/state_contracting_view/8387593" ref="D189" r:id="rId371"/>
    <hyperlink display="https://my.zakupki.prom.ua/remote/dispatcher/state_purchase_view/31748146" ref="B190" r:id="rId372"/>
    <hyperlink display="https://my.zakupki.prom.ua/remote/dispatcher/state_contracting_view/11882730" ref="D190" r:id="rId373"/>
    <hyperlink display="https://my.zakupki.prom.ua/remote/dispatcher/state_purchase_view/23997389" ref="B191" r:id="rId374"/>
    <hyperlink display="https://my.zakupki.prom.ua/remote/dispatcher/state_contracting_view/7665128" ref="D191" r:id="rId375"/>
    <hyperlink display="https://my.zakupki.prom.ua/remote/dispatcher/state_purchase_view/26359031" ref="B192" r:id="rId376"/>
    <hyperlink display="https://my.zakupki.prom.ua/remote/dispatcher/state_contracting_view/8786781" ref="D192" r:id="rId377"/>
    <hyperlink display="https://my.zakupki.prom.ua/remote/dispatcher/state_purchase_view/26052366" ref="B193" r:id="rId378"/>
    <hyperlink display="https://my.zakupki.prom.ua/remote/dispatcher/state_contracting_view/8638488" ref="D193" r:id="rId379"/>
    <hyperlink display="https://my.zakupki.prom.ua/remote/dispatcher/state_purchase_view/23523657" ref="B194" r:id="rId380"/>
    <hyperlink display="https://my.zakupki.prom.ua/remote/dispatcher/state_contracting_view/7448710" ref="D194" r:id="rId381"/>
    <hyperlink display="https://my.zakupki.prom.ua/remote/dispatcher/state_purchase_view/32440736" ref="B195" r:id="rId382"/>
    <hyperlink display="https://my.zakupki.prom.ua/remote/dispatcher/state_contracting_view/11623886" ref="D195" r:id="rId383"/>
    <hyperlink display="https://my.zakupki.prom.ua/remote/dispatcher/state_purchase_view/31659016" ref="B196" r:id="rId384"/>
    <hyperlink display="https://my.zakupki.prom.ua/remote/dispatcher/state_contracting_view/11262145" ref="D196" r:id="rId385"/>
    <hyperlink display="https://my.zakupki.prom.ua/remote/dispatcher/state_purchase_view/24973439" ref="B197" r:id="rId386"/>
    <hyperlink display="https://my.zakupki.prom.ua/remote/dispatcher/state_contracting_view/8124355" ref="D197" r:id="rId387"/>
    <hyperlink display="https://my.zakupki.prom.ua/remote/dispatcher/state_purchase_view/25076825" ref="B198" r:id="rId388"/>
    <hyperlink display="https://my.zakupki.prom.ua/remote/dispatcher/state_contracting_view/8181161" ref="D198" r:id="rId389"/>
    <hyperlink display="https://my.zakupki.prom.ua/remote/dispatcher/state_purchase_view/25120018" ref="B199" r:id="rId390"/>
    <hyperlink display="https://my.zakupki.prom.ua/remote/dispatcher/state_contracting_view/8201676" ref="D199" r:id="rId391"/>
    <hyperlink display="https://my.zakupki.prom.ua/remote/dispatcher/state_purchase_view/25080801" ref="B200" r:id="rId392"/>
    <hyperlink display="https://my.zakupki.prom.ua/remote/dispatcher/state_contracting_view/8181297" ref="D200" r:id="rId393"/>
    <hyperlink display="https://my.zakupki.prom.ua/remote/dispatcher/state_purchase_view/26454813" ref="B201" r:id="rId394"/>
    <hyperlink display="https://my.zakupki.prom.ua/remote/dispatcher/state_contracting_view/8833365" ref="D201" r:id="rId395"/>
    <hyperlink display="https://my.zakupki.prom.ua/remote/dispatcher/state_purchase_view/26260775" ref="B202" r:id="rId396"/>
    <hyperlink display="https://my.zakupki.prom.ua/remote/dispatcher/state_contracting_view/8739642" ref="D202" r:id="rId397"/>
    <hyperlink display="https://my.zakupki.prom.ua/remote/dispatcher/state_purchase_view/26257276" ref="B203" r:id="rId398"/>
    <hyperlink display="https://my.zakupki.prom.ua/remote/dispatcher/state_contracting_view/8739110" ref="D203" r:id="rId399"/>
    <hyperlink display="https://my.zakupki.prom.ua/remote/dispatcher/state_purchase_view/26442737" ref="B204" r:id="rId400"/>
    <hyperlink display="https://my.zakupki.prom.ua/remote/dispatcher/state_contracting_view/8829527" ref="D204" r:id="rId401"/>
    <hyperlink display="https://my.zakupki.prom.ua/remote/dispatcher/state_purchase_view/26335055" ref="B205" r:id="rId402"/>
    <hyperlink display="https://my.zakupki.prom.ua/remote/dispatcher/state_contracting_view/8777390" ref="D205" r:id="rId403"/>
    <hyperlink display="https://my.zakupki.prom.ua/remote/dispatcher/state_purchase_view/26304681" ref="B206" r:id="rId404"/>
    <hyperlink display="https://my.zakupki.prom.ua/remote/dispatcher/state_contracting_view/8774287" ref="D206" r:id="rId405"/>
    <hyperlink display="https://my.zakupki.prom.ua/remote/dispatcher/state_purchase_view/26711183" ref="B207" r:id="rId406"/>
    <hyperlink display="https://my.zakupki.prom.ua/remote/dispatcher/state_contracting_view/8954308" ref="D207" r:id="rId407"/>
    <hyperlink display="https://my.zakupki.prom.ua/remote/dispatcher/state_purchase_view/27771417" ref="B208" r:id="rId408"/>
    <hyperlink display="https://my.zakupki.prom.ua/remote/dispatcher/state_contracting_view/9465776" ref="D208" r:id="rId409"/>
    <hyperlink display="https://my.zakupki.prom.ua/remote/dispatcher/state_purchase_view/27779146" ref="B209" r:id="rId410"/>
    <hyperlink display="https://my.zakupki.prom.ua/remote/dispatcher/state_contracting_view/9464279" ref="D209" r:id="rId411"/>
    <hyperlink display="https://my.zakupki.prom.ua/remote/dispatcher/state_purchase_view/27778072" ref="B210" r:id="rId412"/>
    <hyperlink display="https://my.zakupki.prom.ua/remote/dispatcher/state_contracting_view/9464606" ref="D210" r:id="rId413"/>
    <hyperlink display="https://my.zakupki.prom.ua/remote/dispatcher/state_purchase_view/27778543" ref="B211" r:id="rId414"/>
    <hyperlink display="https://my.zakupki.prom.ua/remote/dispatcher/state_contracting_view/9464324" ref="D211" r:id="rId415"/>
    <hyperlink display="https://my.zakupki.prom.ua/remote/dispatcher/state_purchase_view/27366208" ref="B212" r:id="rId416"/>
    <hyperlink display="https://my.zakupki.prom.ua/remote/dispatcher/state_contracting_view/9264855" ref="D212" r:id="rId417"/>
    <hyperlink display="https://my.zakupki.prom.ua/remote/dispatcher/state_purchase_view/27358121" ref="B213" r:id="rId418"/>
    <hyperlink display="https://my.zakupki.prom.ua/remote/dispatcher/state_contracting_view/9261463" ref="D213" r:id="rId419"/>
    <hyperlink display="https://my.zakupki.prom.ua/remote/dispatcher/state_purchase_view/31535229" ref="B214" r:id="rId420"/>
    <hyperlink display="https://my.zakupki.prom.ua/remote/dispatcher/state_contracting_view/11415233" ref="D214" r:id="rId421"/>
    <hyperlink display="https://my.zakupki.prom.ua/remote/dispatcher/state_purchase_view/23799568" ref="B215" r:id="rId422"/>
    <hyperlink display="https://my.zakupki.prom.ua/remote/dispatcher/state_contracting_view/7771344" ref="D215" r:id="rId423"/>
    <hyperlink display="https://my.zakupki.prom.ua/remote/dispatcher/state_purchase_view/25366827" ref="B216" r:id="rId424"/>
    <hyperlink display="https://my.zakupki.prom.ua/remote/dispatcher/state_contracting_view/8312362" ref="D216" r:id="rId425"/>
    <hyperlink display="https://my.zakupki.prom.ua/remote/dispatcher/state_purchase_view/30289335" ref="B217" r:id="rId426"/>
    <hyperlink display="https://my.zakupki.prom.ua/remote/dispatcher/state_contracting_view/10633971" ref="D217" r:id="rId427"/>
    <hyperlink display="https://my.zakupki.prom.ua/remote/dispatcher/state_purchase_view/30291508" ref="B218" r:id="rId428"/>
    <hyperlink display="https://my.zakupki.prom.ua/remote/dispatcher/state_contracting_view/10634890" ref="D218" r:id="rId429"/>
    <hyperlink display="https://my.zakupki.prom.ua/remote/dispatcher/state_purchase_view/29986735" ref="B219" r:id="rId430"/>
    <hyperlink display="https://my.zakupki.prom.ua/remote/dispatcher/state_contracting_view/10494150" ref="D219" r:id="rId431"/>
    <hyperlink display="https://my.zakupki.prom.ua/remote/dispatcher/state_purchase_view/24719063" ref="B220" r:id="rId432"/>
    <hyperlink display="https://my.zakupki.prom.ua/remote/dispatcher/state_contracting_view/8002109" ref="D220" r:id="rId433"/>
    <hyperlink display="https://my.zakupki.prom.ua/remote/dispatcher/state_purchase_view/24581817" ref="B221" r:id="rId434"/>
    <hyperlink display="https://my.zakupki.prom.ua/remote/dispatcher/state_contracting_view/7942739" ref="D221" r:id="rId435"/>
    <hyperlink display="https://my.zakupki.prom.ua/remote/dispatcher/state_purchase_view/24567200" ref="B222" r:id="rId436"/>
    <hyperlink display="https://my.zakupki.prom.ua/remote/dispatcher/state_contracting_view/7937006" ref="D222" r:id="rId437"/>
    <hyperlink display="https://my.zakupki.prom.ua/remote/dispatcher/state_purchase_view/26255321" ref="B223" r:id="rId438"/>
    <hyperlink display="https://my.zakupki.prom.ua/remote/dispatcher/state_contracting_view/8946911" ref="D223" r:id="rId439"/>
    <hyperlink display="https://my.zakupki.prom.ua/remote/dispatcher/state_purchase_view/26235692" ref="B224" r:id="rId440"/>
    <hyperlink display="https://my.zakupki.prom.ua/remote/dispatcher/state_contracting_view/8734491" ref="D224" r:id="rId441"/>
    <hyperlink display="https://my.zakupki.prom.ua/remote/dispatcher/state_purchase_view/25590479" ref="B225" r:id="rId442"/>
    <hyperlink display="https://my.zakupki.prom.ua/remote/dispatcher/state_contracting_view/8419376" ref="D225" r:id="rId443"/>
    <hyperlink display="https://my.zakupki.prom.ua/remote/dispatcher/state_purchase_view/25563053" ref="B226" r:id="rId444"/>
    <hyperlink display="https://my.zakupki.prom.ua/remote/dispatcher/state_contracting_view/8405350" ref="D226" r:id="rId445"/>
    <hyperlink display="https://my.zakupki.prom.ua/remote/dispatcher/state_purchase_view/25561642" ref="B227" r:id="rId446"/>
    <hyperlink display="https://my.zakupki.prom.ua/remote/dispatcher/state_contracting_view/8404798" ref="D227" r:id="rId447"/>
    <hyperlink display="https://my.zakupki.prom.ua/remote/dispatcher/state_purchase_view/25547721" ref="B228" r:id="rId448"/>
    <hyperlink display="https://my.zakupki.prom.ua/remote/dispatcher/state_contracting_view/8398219" ref="D228" r:id="rId449"/>
    <hyperlink display="https://my.zakupki.prom.ua/remote/dispatcher/state_purchase_view/25663090" ref="B229" r:id="rId450"/>
    <hyperlink display="https://my.zakupki.prom.ua/remote/dispatcher/state_contracting_view/8453319" ref="D229" r:id="rId451"/>
    <hyperlink display="https://my.zakupki.prom.ua/remote/dispatcher/state_purchase_view/24379662" ref="B230" r:id="rId452"/>
    <hyperlink display="https://my.zakupki.prom.ua/remote/dispatcher/state_contracting_view/7841197" ref="D230" r:id="rId453"/>
    <hyperlink display="https://my.zakupki.prom.ua/remote/dispatcher/state_purchase_view/26089659" ref="B231" r:id="rId454"/>
    <hyperlink display="https://my.zakupki.prom.ua/remote/dispatcher/state_contracting_view/8656582" ref="D231" r:id="rId455"/>
    <hyperlink display="https://my.zakupki.prom.ua/remote/dispatcher/state_purchase_view/25238835" ref="B232" r:id="rId456"/>
    <hyperlink display="https://my.zakupki.prom.ua/remote/dispatcher/state_contracting_view/8273271" ref="D232" r:id="rId457"/>
    <hyperlink display="https://my.zakupki.prom.ua/remote/dispatcher/state_purchase_view/33702326" ref="B233" r:id="rId458"/>
    <hyperlink display="https://my.zakupki.prom.ua/remote/dispatcher/state_contracting_view/12289339" ref="D233" r:id="rId459"/>
    <hyperlink display="https://my.zakupki.prom.ua/remote/dispatcher/state_purchase_view/30154485" ref="B234" r:id="rId460"/>
    <hyperlink display="https://my.zakupki.prom.ua/remote/dispatcher/state_contracting_view/10571667" ref="D234" r:id="rId461"/>
    <hyperlink display="https://my.zakupki.prom.ua/remote/dispatcher/state_purchase_view/27772345" ref="B235" r:id="rId462"/>
    <hyperlink display="https://my.zakupki.prom.ua/remote/dispatcher/state_contracting_view/9465690" ref="D235" r:id="rId463"/>
    <hyperlink display="https://my.zakupki.prom.ua/remote/dispatcher/state_purchase_view/27772064" ref="B236" r:id="rId464"/>
    <hyperlink display="https://my.zakupki.prom.ua/remote/dispatcher/state_contracting_view/9465657" ref="D236" r:id="rId465"/>
    <hyperlink display="https://my.zakupki.prom.ua/remote/dispatcher/state_purchase_view/30287495" ref="B237" r:id="rId466"/>
    <hyperlink display="https://my.zakupki.prom.ua/remote/dispatcher/state_contracting_view/10632840" ref="D237" r:id="rId467"/>
    <hyperlink display="https://my.zakupki.prom.ua/remote/dispatcher/state_purchase_view/27903504" ref="B238" r:id="rId468"/>
    <hyperlink display="https://my.zakupki.prom.ua/remote/dispatcher/state_contracting_view/9521399" ref="D238" r:id="rId469"/>
    <hyperlink display="https://my.zakupki.prom.ua/remote/dispatcher/state_purchase_view/29081818" ref="B239" r:id="rId470"/>
    <hyperlink display="https://my.zakupki.prom.ua/remote/dispatcher/state_contracting_view/10073685" ref="D239" r:id="rId471"/>
    <hyperlink display="https://my.zakupki.prom.ua/remote/dispatcher/state_purchase_view/23358455" ref="B240" r:id="rId472"/>
    <hyperlink display="https://my.zakupki.prom.ua/remote/dispatcher/state_contracting_view/7377736" ref="D240" r:id="rId473"/>
    <hyperlink display="https://my.zakupki.prom.ua/remote/dispatcher/state_purchase_view/22934880" ref="B241" r:id="rId474"/>
    <hyperlink display="https://my.zakupki.prom.ua/remote/dispatcher/state_contracting_view/7214825" ref="D241" r:id="rId475"/>
    <hyperlink display="https://my.zakupki.prom.ua/remote/dispatcher/state_purchase_view/22928171" ref="B242" r:id="rId476"/>
    <hyperlink display="https://my.zakupki.prom.ua/remote/dispatcher/state_contracting_view/7212590" ref="D242" r:id="rId477"/>
    <hyperlink display="https://my.zakupki.prom.ua/remote/dispatcher/state_purchase_view/22893768" ref="B243" r:id="rId478"/>
    <hyperlink display="https://my.zakupki.prom.ua/remote/dispatcher/state_contracting_view/7202116" ref="D243" r:id="rId479"/>
    <hyperlink display="https://my.zakupki.prom.ua/remote/dispatcher/state_purchase_view/30782572" ref="B244" r:id="rId480"/>
    <hyperlink display="https://my.zakupki.prom.ua/remote/dispatcher/state_contracting_view/10860995" ref="D244" r:id="rId481"/>
    <hyperlink display="https://my.zakupki.prom.ua/remote/dispatcher/state_purchase_view/24763356" ref="B245" r:id="rId482"/>
    <hyperlink display="https://my.zakupki.prom.ua/remote/dispatcher/state_contracting_view/8023215" ref="D245" r:id="rId483"/>
    <hyperlink display="https://my.zakupki.prom.ua/remote/dispatcher/state_purchase_view/25020162" ref="B246" r:id="rId484"/>
    <hyperlink display="https://my.zakupki.prom.ua/remote/dispatcher/state_contracting_view/8146753" ref="D246" r:id="rId485"/>
    <hyperlink display="https://my.zakupki.prom.ua/remote/dispatcher/state_purchase_view/30155624" ref="B247" r:id="rId486"/>
    <hyperlink display="https://my.zakupki.prom.ua/remote/dispatcher/state_contracting_view/10571749" ref="D247" r:id="rId487"/>
    <hyperlink display="https://my.zakupki.prom.ua/remote/dispatcher/state_purchase_view/31105913" ref="B248" r:id="rId488"/>
    <hyperlink display="https://my.zakupki.prom.ua/remote/dispatcher/state_contracting_view/11016437" ref="D248" r:id="rId489"/>
    <hyperlink display="https://my.zakupki.prom.ua/remote/dispatcher/state_purchase_view/30966983" ref="B249" r:id="rId490"/>
    <hyperlink display="https://my.zakupki.prom.ua/remote/dispatcher/state_contracting_view/10946625" ref="D249" r:id="rId491"/>
    <hyperlink display="https://my.zakupki.prom.ua/remote/dispatcher/state_purchase_view/30964407" ref="B250" r:id="rId492"/>
    <hyperlink display="https://my.zakupki.prom.ua/remote/dispatcher/state_contracting_view/10944897" ref="D250" r:id="rId493"/>
    <hyperlink display="https://my.zakupki.prom.ua/remote/dispatcher/state_purchase_view/29529823" ref="B251" r:id="rId494"/>
    <hyperlink display="https://my.zakupki.prom.ua/remote/dispatcher/state_contracting_view/10285424" ref="D251" r:id="rId495"/>
    <hyperlink display="https://my.zakupki.prom.ua/remote/dispatcher/state_purchase_view/27262354" ref="B252" r:id="rId496"/>
    <hyperlink display="https://my.zakupki.prom.ua/remote/dispatcher/state_contracting_view/9216719" ref="D252" r:id="rId497"/>
    <hyperlink display="https://my.zakupki.prom.ua/remote/dispatcher/state_purchase_view/29428917" ref="B253" r:id="rId498"/>
    <hyperlink display="https://my.zakupki.prom.ua/remote/dispatcher/state_contracting_view/10236304" ref="D253" r:id="rId499"/>
    <hyperlink display="https://my.zakupki.prom.ua/remote/dispatcher/state_purchase_view/29434331" ref="B254" r:id="rId500"/>
    <hyperlink display="https://my.zakupki.prom.ua/remote/dispatcher/state_contracting_view/10238769" ref="D254" r:id="rId501"/>
    <hyperlink display="https://my.zakupki.prom.ua/remote/dispatcher/state_purchase_view/24102739" ref="B255" r:id="rId502"/>
    <hyperlink display="https://my.zakupki.prom.ua/remote/dispatcher/state_contracting_view/7718413" ref="D255" r:id="rId503"/>
    <hyperlink display="https://my.zakupki.prom.ua/remote/dispatcher/state_purchase_view/24350111" ref="B256" r:id="rId504"/>
    <hyperlink display="https://my.zakupki.prom.ua/remote/dispatcher/state_contracting_view/7826687" ref="D256" r:id="rId505"/>
    <hyperlink display="https://my.zakupki.prom.ua/remote/dispatcher/state_purchase_view/22863071" ref="B257" r:id="rId506"/>
    <hyperlink display="https://my.zakupki.prom.ua/remote/dispatcher/state_contracting_view/7191400" ref="D257" r:id="rId507"/>
    <hyperlink display="https://my.zakupki.prom.ua/remote/dispatcher/state_purchase_view/26184033" ref="B258" r:id="rId508"/>
    <hyperlink display="https://my.zakupki.prom.ua/remote/dispatcher/state_contracting_view/8702743" ref="D258" r:id="rId509"/>
    <hyperlink display="https://my.zakupki.prom.ua/remote/dispatcher/state_purchase_view/26088057" ref="B259" r:id="rId510"/>
    <hyperlink display="https://my.zakupki.prom.ua/remote/dispatcher/state_contracting_view/8655735" ref="D259" r:id="rId511"/>
    <hyperlink display="https://my.zakupki.prom.ua/remote/dispatcher/state_purchase_view/26046715" ref="B260" r:id="rId512"/>
    <hyperlink display="https://my.zakupki.prom.ua/remote/dispatcher/state_contracting_view/8635843" ref="D260" r:id="rId513"/>
    <hyperlink display="https://my.zakupki.prom.ua/remote/dispatcher/state_purchase_view/26275342" ref="B261" r:id="rId514"/>
    <hyperlink display="https://my.zakupki.prom.ua/remote/dispatcher/state_contracting_view/8746410" ref="D261" r:id="rId515"/>
    <hyperlink display="https://my.zakupki.prom.ua/remote/dispatcher/state_purchase_view/26258301" ref="B262" r:id="rId516"/>
    <hyperlink display="https://my.zakupki.prom.ua/remote/dispatcher/state_contracting_view/8738913" ref="D262" r:id="rId517"/>
    <hyperlink display="https://my.zakupki.prom.ua/remote/dispatcher/state_purchase_view/25636120" ref="B263" r:id="rId518"/>
    <hyperlink display="https://my.zakupki.prom.ua/remote/dispatcher/state_contracting_view/8443644" ref="D263" r:id="rId519"/>
    <hyperlink display="https://my.zakupki.prom.ua/remote/dispatcher/state_purchase_view/25634774" ref="B264" r:id="rId520"/>
    <hyperlink display="https://my.zakupki.prom.ua/remote/dispatcher/state_contracting_view/8443122" ref="D264" r:id="rId521"/>
    <hyperlink display="https://my.zakupki.prom.ua/remote/dispatcher/state_purchase_view/24869813" ref="B265" r:id="rId522"/>
    <hyperlink display="https://my.zakupki.prom.ua/remote/dispatcher/state_contracting_view/8085651" ref="D265" r:id="rId523"/>
    <hyperlink display="https://my.zakupki.prom.ua/remote/dispatcher/state_purchase_view/25067834" ref="B266" r:id="rId524"/>
    <hyperlink display="https://my.zakupki.prom.ua/remote/dispatcher/state_contracting_view/8170347" ref="D266" r:id="rId525"/>
    <hyperlink display="https://my.zakupki.prom.ua/remote/dispatcher/state_purchase_view/25071671" ref="B267" r:id="rId526"/>
    <hyperlink display="https://my.zakupki.prom.ua/remote/dispatcher/state_contracting_view/8180288" ref="D267" r:id="rId527"/>
    <hyperlink display="https://my.zakupki.prom.ua/remote/dispatcher/state_purchase_view/24837362" ref="B268" r:id="rId528"/>
    <hyperlink display="https://my.zakupki.prom.ua/remote/dispatcher/state_contracting_view/8488304" ref="D268" r:id="rId529"/>
    <hyperlink display="https://my.zakupki.prom.ua/remote/dispatcher/state_purchase_view/26619352" ref="B269" r:id="rId530"/>
    <hyperlink display="https://my.zakupki.prom.ua/remote/dispatcher/state_contracting_view/8924338" ref="D269" r:id="rId531"/>
    <hyperlink display="https://my.zakupki.prom.ua/remote/dispatcher/state_purchase_view/26618265" ref="B270" r:id="rId532"/>
    <hyperlink display="https://my.zakupki.prom.ua/remote/dispatcher/state_contracting_view/8924899" ref="D270" r:id="rId533"/>
    <hyperlink display="https://my.zakupki.prom.ua/remote/dispatcher/state_purchase_view/26462801" ref="B271" r:id="rId534"/>
    <hyperlink display="https://my.zakupki.prom.ua/remote/dispatcher/state_contracting_view/8837147" ref="D271" r:id="rId535"/>
    <hyperlink display="https://my.zakupki.prom.ua/remote/dispatcher/state_purchase_view/25485039" ref="B272" r:id="rId536"/>
    <hyperlink display="https://my.zakupki.prom.ua/remote/dispatcher/state_contracting_view/8371466" ref="D272" r:id="rId537"/>
    <hyperlink display="https://my.zakupki.prom.ua/remote/dispatcher/state_purchase_view/26932751" ref="B273" r:id="rId538"/>
    <hyperlink display="https://my.zakupki.prom.ua/remote/dispatcher/state_contracting_view/9059966" ref="D273" r:id="rId539"/>
    <hyperlink display="https://my.zakupki.prom.ua/remote/dispatcher/state_purchase_view/25547171" ref="B274" r:id="rId540"/>
    <hyperlink display="https://my.zakupki.prom.ua/remote/dispatcher/state_contracting_view/8398186" ref="D274" r:id="rId541"/>
    <hyperlink display="https://my.zakupki.prom.ua/remote/dispatcher/state_purchase_view/25604100" ref="B275" r:id="rId542"/>
    <hyperlink display="https://my.zakupki.prom.ua/remote/dispatcher/state_contracting_view/8425590" ref="D275" r:id="rId543"/>
    <hyperlink display="https://my.zakupki.prom.ua/remote/dispatcher/state_purchase_view/23279808" ref="B276" r:id="rId544"/>
    <hyperlink display="https://my.zakupki.prom.ua/remote/dispatcher/state_contracting_view/7345144" ref="D276" r:id="rId545"/>
    <hyperlink display="https://my.zakupki.prom.ua/remote/dispatcher/state_purchase_view/27211469" ref="B277" r:id="rId546"/>
    <hyperlink display="https://my.zakupki.prom.ua/remote/dispatcher/state_contracting_view/9191637" ref="D277" r:id="rId547"/>
    <hyperlink display="https://my.zakupki.prom.ua/remote/dispatcher/state_purchase_view/27269620" ref="B278" r:id="rId548"/>
    <hyperlink display="https://my.zakupki.prom.ua/remote/dispatcher/state_contracting_view/9221609" ref="D278" r:id="rId549"/>
    <hyperlink display="https://my.zakupki.prom.ua/remote/dispatcher/state_purchase_view/27199349" ref="B279" r:id="rId550"/>
    <hyperlink display="https://my.zakupki.prom.ua/remote/dispatcher/state_contracting_view/9185912" ref="D279" r:id="rId551"/>
    <hyperlink display="https://my.zakupki.prom.ua/remote/dispatcher/state_purchase_view/23467290" ref="B280" r:id="rId552"/>
    <hyperlink display="https://my.zakupki.prom.ua/remote/dispatcher/state_contracting_view/7424946" ref="D280" r:id="rId553"/>
    <hyperlink display="https://my.zakupki.prom.ua/remote/dispatcher/state_purchase_view/23615414" ref="B281" r:id="rId554"/>
    <hyperlink display="https://my.zakupki.prom.ua/remote/dispatcher/state_contracting_view/7489054" ref="D281" r:id="rId555"/>
    <hyperlink display="https://my.zakupki.prom.ua/remote/dispatcher/state_purchase_view/22841535" ref="B282" r:id="rId556"/>
    <hyperlink display="https://my.zakupki.prom.ua/remote/dispatcher/state_contracting_view/7183831" ref="D282" r:id="rId557"/>
    <hyperlink display="https://my.zakupki.prom.ua/remote/dispatcher/state_purchase_view/24746088" ref="B283" r:id="rId558"/>
    <hyperlink display="https://my.zakupki.prom.ua/remote/dispatcher/state_contracting_view/8020741" ref="D283" r:id="rId559"/>
    <hyperlink display="https://my.zakupki.prom.ua/remote/dispatcher/state_purchase_view/25252309" ref="B284" r:id="rId560"/>
    <hyperlink display="https://my.zakupki.prom.ua/remote/dispatcher/state_contracting_view/8275982" ref="D284" r:id="rId561"/>
    <hyperlink display="https://my.zakupki.prom.ua/remote/dispatcher/state_purchase_view/31558898" ref="B285" r:id="rId562"/>
    <hyperlink display="https://my.zakupki.prom.ua/remote/dispatcher/state_contracting_view/11218711" ref="D285" r:id="rId563"/>
    <hyperlink display="https://my.zakupki.prom.ua/remote/dispatcher/state_purchase_view/30713328" ref="B286" r:id="rId564"/>
    <hyperlink display="https://my.zakupki.prom.ua/remote/dispatcher/state_contracting_view/10839970" ref="D286" r:id="rId565"/>
    <hyperlink display="https://my.zakupki.prom.ua/remote/dispatcher/state_purchase_view/27741044" ref="B287" r:id="rId566"/>
    <hyperlink display="https://my.zakupki.prom.ua/remote/dispatcher/state_contracting_view/9442973" ref="D287" r:id="rId567"/>
    <hyperlink display="https://my.zakupki.prom.ua/remote/dispatcher/state_purchase_view/27746590" ref="B288" r:id="rId568"/>
    <hyperlink display="https://my.zakupki.prom.ua/remote/dispatcher/state_contracting_view/9445774" ref="D288" r:id="rId569"/>
    <hyperlink display="https://my.zakupki.prom.ua/remote/dispatcher/state_purchase_view/30405065" ref="B289" r:id="rId570"/>
    <hyperlink display="https://my.zakupki.prom.ua/remote/dispatcher/state_contracting_view/10694258" ref="D289" r:id="rId571"/>
    <hyperlink display="https://my.zakupki.prom.ua/remote/dispatcher/state_purchase_view/24961555" ref="B290" r:id="rId572"/>
    <hyperlink display="https://my.zakupki.prom.ua/remote/dispatcher/state_contracting_view/8118748" ref="D290" r:id="rId573"/>
    <hyperlink display="https://my.zakupki.prom.ua/remote/dispatcher/state_purchase_view/25661889" ref="B291" r:id="rId574"/>
    <hyperlink display="https://my.zakupki.prom.ua/remote/dispatcher/state_contracting_view/8453645" ref="D291" r:id="rId575"/>
    <hyperlink display="https://my.zakupki.prom.ua/remote/dispatcher/state_purchase_view/25826525" ref="B292" r:id="rId576"/>
    <hyperlink display="https://my.zakupki.prom.ua/remote/dispatcher/state_contracting_view/8530693" ref="D292" r:id="rId577"/>
    <hyperlink display="https://my.zakupki.prom.ua/remote/dispatcher/state_purchase_view/25857287" ref="B293" r:id="rId578"/>
    <hyperlink display="https://my.zakupki.prom.ua/remote/dispatcher/state_contracting_view/8547132" ref="D293" r:id="rId579"/>
    <hyperlink display="https://my.zakupki.prom.ua/remote/dispatcher/state_purchase_view/29760151" ref="B294" r:id="rId580"/>
    <hyperlink display="https://my.zakupki.prom.ua/remote/dispatcher/state_contracting_view/10389456" ref="D294" r:id="rId581"/>
    <hyperlink display="https://my.zakupki.prom.ua/remote/dispatcher/state_purchase_view/30680748" ref="B295" r:id="rId582"/>
    <hyperlink display="https://my.zakupki.prom.ua/remote/dispatcher/state_contracting_view/10812870" ref="D295" r:id="rId583"/>
    <hyperlink display="https://my.zakupki.prom.ua/remote/dispatcher/state_purchase_view/32319274" ref="B296" r:id="rId584"/>
    <hyperlink display="https://my.zakupki.prom.ua/remote/dispatcher/state_contracting_view/11567438" ref="D296" r:id="rId585"/>
    <hyperlink display="https://my.zakupki.prom.ua/remote/dispatcher/state_purchase_view/31509989" ref="B297" r:id="rId586"/>
    <hyperlink display="https://my.zakupki.prom.ua/remote/dispatcher/state_contracting_view/11194760" ref="D297" r:id="rId587"/>
    <hyperlink display="https://my.zakupki.prom.ua/remote/dispatcher/state_purchase_view/31709476" ref="B298" r:id="rId588"/>
    <hyperlink display="https://my.zakupki.prom.ua/remote/dispatcher/state_contracting_view/11285886" ref="D298" r:id="rId589"/>
    <hyperlink display="https://my.zakupki.prom.ua/remote/dispatcher/state_purchase_view/31363415" ref="B299" r:id="rId590"/>
    <hyperlink display="https://my.zakupki.prom.ua/remote/dispatcher/state_contracting_view/11127271" ref="D299" r:id="rId591"/>
    <hyperlink display="https://my.zakupki.prom.ua/remote/dispatcher/state_purchase_view/33712015" ref="B300" r:id="rId592"/>
    <hyperlink display="https://my.zakupki.prom.ua/remote/dispatcher/state_contracting_view/12232067" ref="D300" r:id="rId593"/>
    <hyperlink display="https://my.zakupki.prom.ua/remote/dispatcher/state_purchase_view/33387638" ref="B301" r:id="rId594"/>
    <hyperlink display="https://my.zakupki.prom.ua/remote/dispatcher/state_contracting_view/12072095" ref="D301" r:id="rId595"/>
    <hyperlink display="https://my.zakupki.prom.ua/remote/dispatcher/state_purchase_view/32569833" ref="B302" r:id="rId596"/>
    <hyperlink display="https://my.zakupki.prom.ua/remote/dispatcher/state_contracting_view/11682734" ref="D302" r:id="rId597"/>
    <hyperlink display="https://my.zakupki.prom.ua/remote/dispatcher/state_purchase_view/23995192" ref="B303" r:id="rId598"/>
    <hyperlink display="https://my.zakupki.prom.ua/remote/dispatcher/state_contracting_view/7664453" ref="D303" r:id="rId599"/>
    <hyperlink display="https://my.zakupki.prom.ua/remote/dispatcher/state_purchase_view/24433438" ref="B304" r:id="rId600"/>
    <hyperlink display="https://my.zakupki.prom.ua/remote/dispatcher/state_contracting_view/8187449" ref="D304" r:id="rId601"/>
    <hyperlink display="https://my.zakupki.prom.ua/remote/dispatcher/state_purchase_view/23304253" ref="B305" r:id="rId602"/>
    <hyperlink display="https://my.zakupki.prom.ua/remote/dispatcher/state_contracting_view/7369027" ref="D305" r:id="rId603"/>
    <hyperlink display="https://my.zakupki.prom.ua/remote/dispatcher/state_purchase_view/30295328" ref="B306" r:id="rId604"/>
    <hyperlink display="https://my.zakupki.prom.ua/remote/dispatcher/state_contracting_view/10636953" ref="D306" r:id="rId605"/>
    <hyperlink display="https://my.zakupki.prom.ua/remote/dispatcher/state_purchase_view/26107752" ref="B307" r:id="rId606"/>
    <hyperlink display="https://my.zakupki.prom.ua/remote/dispatcher/state_contracting_view/8665457" ref="D307" r:id="rId607"/>
    <hyperlink display="https://my.zakupki.prom.ua/remote/dispatcher/state_purchase_view/26260420" ref="B308" r:id="rId608"/>
    <hyperlink display="https://my.zakupki.prom.ua/remote/dispatcher/state_contracting_view/8739500" ref="D308" r:id="rId609"/>
    <hyperlink display="https://my.zakupki.prom.ua/remote/dispatcher/state_purchase_view/25603439" ref="B309" r:id="rId610"/>
    <hyperlink display="https://my.zakupki.prom.ua/remote/dispatcher/state_contracting_view/8425339" ref="D309" r:id="rId611"/>
    <hyperlink display="https://my.zakupki.prom.ua/remote/dispatcher/state_purchase_view/25372203" ref="B310" r:id="rId612"/>
    <hyperlink display="https://my.zakupki.prom.ua/remote/dispatcher/state_contracting_view/8318082" ref="D310" r:id="rId613"/>
    <hyperlink display="https://my.zakupki.prom.ua/remote/dispatcher/state_purchase_view/25355884" ref="B311" r:id="rId614"/>
    <hyperlink display="https://my.zakupki.prom.ua/remote/dispatcher/state_contracting_view/8308469" ref="D311" r:id="rId615"/>
    <hyperlink display="https://my.zakupki.prom.ua/remote/dispatcher/state_purchase_view/25269139" ref="B312" r:id="rId616"/>
    <hyperlink display="https://my.zakupki.prom.ua/remote/dispatcher/state_contracting_view/8286929" ref="D312" r:id="rId617"/>
    <hyperlink display="https://my.zakupki.prom.ua/remote/dispatcher/state_purchase_view/24764460" ref="B313" r:id="rId618"/>
    <hyperlink display="https://my.zakupki.prom.ua/remote/dispatcher/state_contracting_view/8023642" ref="D313" r:id="rId619"/>
    <hyperlink display="https://my.zakupki.prom.ua/remote/dispatcher/state_purchase_view/26087297" ref="B314" r:id="rId620"/>
    <hyperlink display="https://my.zakupki.prom.ua/remote/dispatcher/state_contracting_view/8655138" ref="D314" r:id="rId621"/>
    <hyperlink display="https://my.zakupki.prom.ua/remote/dispatcher/state_purchase_view/25270087" ref="B315" r:id="rId622"/>
    <hyperlink display="https://my.zakupki.prom.ua/remote/dispatcher/state_contracting_view/8287110" ref="D315" r:id="rId623"/>
    <hyperlink display="https://my.zakupki.prom.ua/remote/dispatcher/state_purchase_view/25383045" ref="B316" r:id="rId624"/>
    <hyperlink display="https://my.zakupki.prom.ua/remote/dispatcher/state_contracting_view/8320847" ref="D316" r:id="rId625"/>
    <hyperlink display="https://my.zakupki.prom.ua/remote/dispatcher/state_purchase_view/25260245" ref="B317" r:id="rId626"/>
    <hyperlink display="https://my.zakupki.prom.ua/remote/dispatcher/state_contracting_view/8281031" ref="D317" r:id="rId627"/>
    <hyperlink display="https://my.zakupki.prom.ua/remote/dispatcher/state_purchase_view/25615938" ref="B318" r:id="rId628"/>
    <hyperlink display="https://my.zakupki.prom.ua/remote/dispatcher/state_contracting_view/8814264" ref="D318" r:id="rId629"/>
    <hyperlink display="https://my.zakupki.prom.ua/remote/dispatcher/state_purchase_view/25563908" ref="B319" r:id="rId630"/>
    <hyperlink display="https://my.zakupki.prom.ua/remote/dispatcher/state_contracting_view/8409178" ref="D319" r:id="rId631"/>
    <hyperlink display="https://my.zakupki.prom.ua/remote/dispatcher/state_purchase_view/26276236" ref="B320" r:id="rId632"/>
    <hyperlink display="https://my.zakupki.prom.ua/remote/dispatcher/state_contracting_view/8746818" ref="D320" r:id="rId633"/>
    <hyperlink display="https://my.zakupki.prom.ua/remote/dispatcher/state_purchase_view/25683852" ref="B321" r:id="rId634"/>
    <hyperlink display="https://my.zakupki.prom.ua/remote/dispatcher/state_contracting_view/8467492" ref="D321" r:id="rId635"/>
    <hyperlink display="https://my.zakupki.prom.ua/remote/dispatcher/state_purchase_view/25663508" ref="B322" r:id="rId636"/>
    <hyperlink display="https://my.zakupki.prom.ua/remote/dispatcher/state_contracting_view/8453852" ref="D322" r:id="rId637"/>
    <hyperlink display="https://my.zakupki.prom.ua/remote/dispatcher/state_purchase_view/25774870" ref="B323" r:id="rId638"/>
    <hyperlink display="https://my.zakupki.prom.ua/remote/dispatcher/state_contracting_view/8506861" ref="D323" r:id="rId639"/>
    <hyperlink display="https://my.zakupki.prom.ua/remote/dispatcher/state_purchase_view/23358108" ref="B324" r:id="rId640"/>
    <hyperlink display="https://my.zakupki.prom.ua/remote/dispatcher/state_contracting_view/7377609" ref="D324" r:id="rId641"/>
    <hyperlink display="https://my.zakupki.prom.ua/remote/dispatcher/state_purchase_view/22993043" ref="B325" r:id="rId642"/>
    <hyperlink display="https://my.zakupki.prom.ua/remote/dispatcher/state_contracting_view/7234303" ref="D325" r:id="rId643"/>
    <hyperlink display="https://my.zakupki.prom.ua/remote/dispatcher/state_purchase_view/22934166" ref="B326" r:id="rId644"/>
    <hyperlink display="https://my.zakupki.prom.ua/remote/dispatcher/state_contracting_view/7214577" ref="D326" r:id="rId645"/>
    <hyperlink display="https://my.zakupki.prom.ua/remote/dispatcher/state_purchase_view/28349441" ref="B327" r:id="rId646"/>
    <hyperlink display="https://my.zakupki.prom.ua/remote/dispatcher/state_contracting_view/9731358" ref="D327" r:id="rId647"/>
    <hyperlink display="https://my.zakupki.prom.ua/remote/dispatcher/state_purchase_view/22942090" ref="B328" r:id="rId648"/>
    <hyperlink display="https://my.zakupki.prom.ua/remote/dispatcher/state_contracting_view/7217291" ref="D328" r:id="rId649"/>
    <hyperlink display="https://my.zakupki.prom.ua/remote/dispatcher/state_purchase_view/22934718" ref="B329" r:id="rId650"/>
    <hyperlink display="https://my.zakupki.prom.ua/remote/dispatcher/state_contracting_view/7214730" ref="D329" r:id="rId651"/>
    <hyperlink display="https://my.zakupki.prom.ua/remote/dispatcher/state_purchase_view/22934415" ref="B330" r:id="rId652"/>
    <hyperlink display="https://my.zakupki.prom.ua/remote/dispatcher/state_contracting_view/7214682" ref="D330" r:id="rId653"/>
    <hyperlink display="https://my.zakupki.prom.ua/remote/dispatcher/state_purchase_view/31792234" ref="B331" r:id="rId654"/>
    <hyperlink display="https://my.zakupki.prom.ua/remote/dispatcher/state_contracting_view/11364441" ref="D331" r:id="rId655"/>
    <hyperlink display="https://my.zakupki.prom.ua/remote/dispatcher/state_purchase_view/25238402" ref="B332" r:id="rId656"/>
    <hyperlink display="https://my.zakupki.prom.ua/remote/dispatcher/state_contracting_view/8273379" ref="D332" r:id="rId657"/>
    <hyperlink display="https://my.zakupki.prom.ua/remote/dispatcher/state_purchase_view/25229806" ref="B333" r:id="rId658"/>
    <hyperlink display="https://my.zakupki.prom.ua/remote/dispatcher/state_contracting_view/8260757" ref="D333" r:id="rId659"/>
    <hyperlink display="https://my.zakupki.prom.ua/remote/dispatcher/state_purchase_view/24871280" ref="B334" r:id="rId660"/>
    <hyperlink display="https://my.zakupki.prom.ua/remote/dispatcher/state_contracting_view/8079331" ref="D334" r:id="rId661"/>
    <hyperlink display="https://my.zakupki.prom.ua/remote/dispatcher/state_purchase_view/24962946" ref="B335" r:id="rId662"/>
    <hyperlink display="https://my.zakupki.prom.ua/remote/dispatcher/state_contracting_view/8119407" ref="D335" r:id="rId663"/>
    <hyperlink display="https://my.zakupki.prom.ua/remote/dispatcher/state_purchase_view/26604952" ref="B336" r:id="rId664"/>
    <hyperlink display="https://my.zakupki.prom.ua/remote/dispatcher/state_contracting_view/8903903" ref="D336" r:id="rId665"/>
    <hyperlink display="https://my.zakupki.prom.ua/remote/dispatcher/state_purchase_view/31477170" ref="B337" r:id="rId666"/>
    <hyperlink display="https://my.zakupki.prom.ua/remote/dispatcher/state_contracting_view/11440388" ref="D337" r:id="rId667"/>
    <hyperlink display="https://my.zakupki.prom.ua/remote/dispatcher/state_purchase_view/24757402" ref="B338" r:id="rId668"/>
    <hyperlink display="https://my.zakupki.prom.ua/remote/dispatcher/state_contracting_view/8514374" ref="D338" r:id="rId669"/>
    <hyperlink display="https://my.zakupki.prom.ua/remote/dispatcher/state_purchase_view/25526844" ref="B339" r:id="rId670"/>
    <hyperlink display="https://my.zakupki.prom.ua/remote/dispatcher/state_contracting_view/8387920" ref="D339" r:id="rId671"/>
    <hyperlink display="https://my.zakupki.prom.ua/remote/dispatcher/state_purchase_view/25521995" ref="B340" r:id="rId672"/>
    <hyperlink display="https://my.zakupki.prom.ua/remote/dispatcher/state_contracting_view/8385630" ref="D340" r:id="rId673"/>
    <hyperlink display="https://my.zakupki.prom.ua/remote/dispatcher/state_purchase_view/25635384" ref="B341" r:id="rId674"/>
    <hyperlink display="https://my.zakupki.prom.ua/remote/dispatcher/state_contracting_view/8443412" ref="D341" r:id="rId675"/>
    <hyperlink display="https://my.zakupki.prom.ua/remote/dispatcher/state_purchase_view/27739621" ref="B342" r:id="rId676"/>
    <hyperlink display="https://my.zakupki.prom.ua/remote/dispatcher/state_contracting_view/9442520" ref="D342" r:id="rId677"/>
    <hyperlink display="https://my.zakupki.prom.ua/remote/dispatcher/state_purchase_view/27742911" ref="B343" r:id="rId678"/>
    <hyperlink display="https://my.zakupki.prom.ua/remote/dispatcher/state_contracting_view/9444551" ref="D343" r:id="rId679"/>
    <hyperlink display="https://my.zakupki.prom.ua/remote/dispatcher/state_purchase_view/25562762" ref="B344" r:id="rId680"/>
    <hyperlink display="https://my.zakupki.prom.ua/remote/dispatcher/state_contracting_view/8405187" ref="D344" r:id="rId681"/>
    <hyperlink display="https://my.zakupki.prom.ua/remote/dispatcher/state_purchase_view/25433771" ref="B345" r:id="rId682"/>
    <hyperlink display="https://my.zakupki.prom.ua/remote/dispatcher/state_contracting_view/8343992" ref="D345" r:id="rId683"/>
    <hyperlink display="https://my.zakupki.prom.ua/remote/dispatcher/state_purchase_view/25700115" ref="B346" r:id="rId684"/>
    <hyperlink display="https://my.zakupki.prom.ua/remote/dispatcher/state_contracting_view/8470297" ref="D346" r:id="rId685"/>
    <hyperlink display="https://my.zakupki.prom.ua/remote/dispatcher/state_purchase_view/24377097" ref="B347" r:id="rId686"/>
    <hyperlink display="https://my.zakupki.prom.ua/remote/dispatcher/state_contracting_view/7839649" ref="D347" r:id="rId687"/>
    <hyperlink display="https://my.zakupki.prom.ua/remote/dispatcher/state_purchase_view/24284759" ref="B348" r:id="rId688"/>
    <hyperlink display="https://my.zakupki.prom.ua/remote/dispatcher/state_contracting_view/7796036" ref="D348" r:id="rId689"/>
    <hyperlink display="https://my.zakupki.prom.ua/remote/dispatcher/state_purchase_view/31939062" ref="B349" r:id="rId690"/>
    <hyperlink display="https://my.zakupki.prom.ua/remote/dispatcher/state_contracting_view/11392035" ref="D349" r:id="rId691"/>
    <hyperlink display="https://my.zakupki.prom.ua/remote/dispatcher/state_purchase_view/26552422" ref="B350" r:id="rId692"/>
    <hyperlink display="https://my.zakupki.prom.ua/remote/dispatcher/state_contracting_view/8879392" ref="D350" r:id="rId693"/>
    <hyperlink display="https://my.zakupki.prom.ua/remote/dispatcher/state_purchase_view/26343232" ref="B351" r:id="rId694"/>
    <hyperlink display="https://my.zakupki.prom.ua/remote/dispatcher/state_contracting_view/9173641" ref="D351" r:id="rId695"/>
    <hyperlink display="https://my.zakupki.prom.ua/remote/dispatcher/state_purchase_view/26338744" ref="B352" r:id="rId696"/>
    <hyperlink display="https://my.zakupki.prom.ua/remote/dispatcher/state_contracting_view/8777372" ref="D352" r:id="rId697"/>
    <hyperlink display="https://my.zakupki.prom.ua/remote/dispatcher/state_purchase_view/26334841" ref="B353" r:id="rId698"/>
    <hyperlink display="https://my.zakupki.prom.ua/remote/dispatcher/state_contracting_view/8777246" ref="D353" r:id="rId699"/>
    <hyperlink display="https://my.zakupki.prom.ua/remote/dispatcher/state_purchase_view/25266812" ref="B354" r:id="rId700"/>
    <hyperlink display="https://my.zakupki.prom.ua/remote/dispatcher/state_contracting_view/8285630" ref="D354" r:id="rId701"/>
    <hyperlink display="https://my.zakupki.prom.ua/remote/dispatcher/state_purchase_view/28571538" ref="B355" r:id="rId702"/>
    <hyperlink display="https://my.zakupki.prom.ua/remote/dispatcher/state_contracting_view/9836530" ref="D355" r:id="rId703"/>
    <hyperlink display="https://my.zakupki.prom.ua/remote/dispatcher/state_purchase_view/28372747" ref="B356" r:id="rId704"/>
    <hyperlink display="https://my.zakupki.prom.ua/remote/dispatcher/state_contracting_view/9742828" ref="D356" r:id="rId705"/>
    <hyperlink display="https://my.zakupki.prom.ua/remote/dispatcher/state_purchase_view/30290511" ref="B357" r:id="rId706"/>
    <hyperlink display="https://my.zakupki.prom.ua/remote/dispatcher/state_contracting_view/10634206" ref="D357" r:id="rId707"/>
    <hyperlink display="https://my.zakupki.prom.ua/remote/dispatcher/state_purchase_view/30050582" ref="B358" r:id="rId708"/>
    <hyperlink display="https://my.zakupki.prom.ua/remote/dispatcher/state_contracting_view/10544046" ref="D358" r:id="rId709"/>
    <hyperlink display="https://my.zakupki.prom.ua/remote/dispatcher/state_purchase_view/30254630" ref="B359" r:id="rId710"/>
    <hyperlink display="https://my.zakupki.prom.ua/remote/dispatcher/state_contracting_view/10617584" ref="D359" r:id="rId711"/>
    <hyperlink display="https://my.zakupki.prom.ua/remote/dispatcher/state_purchase_view/29434683" ref="B360" r:id="rId712"/>
    <hyperlink display="https://my.zakupki.prom.ua/remote/dispatcher/state_contracting_view/10239032" ref="D360" r:id="rId713"/>
    <hyperlink display="https://my.zakupki.prom.ua/remote/dispatcher/state_purchase_view/27908615" ref="B361" r:id="rId714"/>
    <hyperlink display="https://my.zakupki.prom.ua/remote/dispatcher/state_contracting_view/9524162" ref="D361" r:id="rId715"/>
    <hyperlink display="https://my.zakupki.prom.ua/remote/dispatcher/state_purchase_view/29114917" ref="B362" r:id="rId716"/>
    <hyperlink display="https://my.zakupki.prom.ua/remote/dispatcher/state_contracting_view/10089022" ref="D362" r:id="rId717"/>
    <hyperlink display="https://my.zakupki.prom.ua/remote/dispatcher/state_purchase_view/25879265" ref="B363" r:id="rId718"/>
    <hyperlink display="https://my.zakupki.prom.ua/remote/dispatcher/state_contracting_view/8555839" ref="D363" r:id="rId719"/>
    <hyperlink display="https://my.zakupki.prom.ua/remote/dispatcher/state_purchase_view/23579430" ref="B364" r:id="rId720"/>
    <hyperlink display="https://my.zakupki.prom.ua/remote/dispatcher/state_contracting_view/7568787" ref="D364" r:id="rId721"/>
    <hyperlink display="https://my.zakupki.prom.ua/remote/dispatcher/state_purchase_view/32478081" ref="B365" r:id="rId722"/>
    <hyperlink display="https://my.zakupki.prom.ua/remote/dispatcher/state_contracting_view/11640732" ref="D365" r:id="rId723"/>
    <hyperlink display="https://my.zakupki.prom.ua/remote/dispatcher/state_purchase_view/23041827" ref="B366" r:id="rId724"/>
    <hyperlink display="https://my.zakupki.prom.ua/remote/dispatcher/state_contracting_view/7251480" ref="D366" r:id="rId725"/>
    <hyperlink display="https://my.zakupki.prom.ua/remote/dispatcher/state_purchase_view/22935348" ref="B367" r:id="rId726"/>
    <hyperlink display="https://my.zakupki.prom.ua/remote/dispatcher/state_contracting_view/7214998" ref="D367" r:id="rId727"/>
    <hyperlink display="https://my.zakupki.prom.ua/remote/dispatcher/state_purchase_view/22930930" ref="B368" r:id="rId728"/>
    <hyperlink display="https://my.zakupki.prom.ua/remote/dispatcher/state_contracting_view/7213617" ref="D368" r:id="rId729"/>
    <hyperlink display="https://my.zakupki.prom.ua/remote/dispatcher/state_purchase_view/22930661" ref="B369" r:id="rId730"/>
    <hyperlink display="https://my.zakupki.prom.ua/remote/dispatcher/state_contracting_view/7213529" ref="D369" r:id="rId731"/>
    <hyperlink display="https://my.zakupki.prom.ua/remote/dispatcher/state_purchase_view/24350611" ref="B370" r:id="rId732"/>
    <hyperlink display="https://my.zakupki.prom.ua/remote/dispatcher/state_contracting_view/7826849" ref="D370" r:id="rId733"/>
    <hyperlink display="https://my.zakupki.prom.ua/remote/dispatcher/state_purchase_view/29987486" ref="B371" r:id="rId734"/>
    <hyperlink display="https://my.zakupki.prom.ua/remote/dispatcher/state_contracting_view/10494495" ref="D371" r:id="rId735"/>
    <hyperlink display="https://my.zakupki.prom.ua/remote/dispatcher/state_purchase_view/23611773" ref="B372" r:id="rId736"/>
    <hyperlink display="https://my.zakupki.prom.ua/remote/dispatcher/state_contracting_view/7487780" ref="D372" r:id="rId737"/>
    <hyperlink display="https://my.zakupki.prom.ua/remote/dispatcher/state_purchase_view/24995940" ref="B373" r:id="rId738"/>
    <hyperlink display="https://my.zakupki.prom.ua/remote/dispatcher/state_contracting_view/8135749" ref="D373" r:id="rId739"/>
    <hyperlink display="https://my.zakupki.prom.ua/remote/dispatcher/state_purchase_view/24994522" ref="B374" r:id="rId740"/>
    <hyperlink display="https://my.zakupki.prom.ua/remote/dispatcher/state_contracting_view/8134216" ref="D374" r:id="rId741"/>
    <hyperlink display="https://my.zakupki.prom.ua/remote/dispatcher/state_purchase_view/24965058" ref="B375" r:id="rId742"/>
    <hyperlink display="https://my.zakupki.prom.ua/remote/dispatcher/state_contracting_view/8120337" ref="D375" r:id="rId743"/>
    <hyperlink display="https://my.zakupki.prom.ua/remote/dispatcher/state_purchase_view/25063731" ref="B376" r:id="rId744"/>
    <hyperlink display="https://my.zakupki.prom.ua/remote/dispatcher/state_contracting_view/8167465" ref="D376" r:id="rId745"/>
    <hyperlink display="https://my.zakupki.prom.ua/remote/dispatcher/state_purchase_view/25261202" ref="B377" r:id="rId746"/>
    <hyperlink display="https://my.zakupki.prom.ua/remote/dispatcher/state_contracting_view/8281754" ref="D377" r:id="rId747"/>
    <hyperlink display="https://my.zakupki.prom.ua/remote/dispatcher/state_purchase_view/25368233" ref="B378" r:id="rId748"/>
    <hyperlink display="https://my.zakupki.prom.ua/remote/dispatcher/state_contracting_view/8313606" ref="D378" r:id="rId749"/>
    <hyperlink display="https://my.zakupki.prom.ua/remote/dispatcher/state_purchase_view/25271533" ref="B379" r:id="rId750"/>
    <hyperlink display="https://my.zakupki.prom.ua/remote/dispatcher/state_contracting_view/8304362" ref="D379" r:id="rId751"/>
    <hyperlink display="https://my.zakupki.prom.ua/remote/dispatcher/state_purchase_view/24882958" ref="B380" r:id="rId752"/>
    <hyperlink display="https://my.zakupki.prom.ua/remote/dispatcher/state_contracting_view/8080920" ref="D380" r:id="rId753"/>
    <hyperlink display="https://my.zakupki.prom.ua/remote/dispatcher/state_purchase_view/25265722" ref="B381" r:id="rId754"/>
    <hyperlink display="https://my.zakupki.prom.ua/remote/dispatcher/state_contracting_view/8284694" ref="D381" r:id="rId755"/>
    <hyperlink display="https://my.zakupki.prom.ua/remote/dispatcher/state_purchase_view/32317438" ref="B382" r:id="rId756"/>
    <hyperlink display="https://my.zakupki.prom.ua/remote/dispatcher/state_contracting_view/11567244" ref="D382" r:id="rId757"/>
    <hyperlink display="https://my.zakupki.prom.ua/remote/dispatcher/state_purchase_view/24745020" ref="B383" r:id="rId758"/>
    <hyperlink display="https://my.zakupki.prom.ua/remote/dispatcher/state_contracting_view/8014663" ref="D383" r:id="rId759"/>
    <hyperlink display="https://my.zakupki.prom.ua/remote/dispatcher/state_purchase_view/30712874" ref="B384" r:id="rId760"/>
    <hyperlink display="https://my.zakupki.prom.ua/remote/dispatcher/state_contracting_view/10839876" ref="D384" r:id="rId761"/>
    <hyperlink display="https://my.zakupki.prom.ua/remote/dispatcher/state_purchase_view/25911674" ref="B385" r:id="rId762"/>
    <hyperlink display="https://my.zakupki.prom.ua/remote/dispatcher/state_contracting_view/8571297" ref="D385" r:id="rId763"/>
    <hyperlink display="https://my.zakupki.prom.ua/remote/dispatcher/state_purchase_view/25469032" ref="B386" r:id="rId764"/>
    <hyperlink display="https://my.zakupki.prom.ua/remote/dispatcher/state_contracting_view/8360315" ref="D386" r:id="rId765"/>
    <hyperlink display="https://my.zakupki.prom.ua/remote/dispatcher/state_purchase_view/24363276" ref="B387" r:id="rId766"/>
    <hyperlink display="https://my.zakupki.prom.ua/remote/dispatcher/state_contracting_view/7833101" ref="D387" r:id="rId767"/>
    <hyperlink display="https://my.zakupki.prom.ua/remote/dispatcher/state_purchase_view/25075309" ref="B388" r:id="rId768"/>
    <hyperlink display="https://my.zakupki.prom.ua/remote/dispatcher/state_contracting_view/8180791" ref="D388" r:id="rId769"/>
    <hyperlink display="https://my.zakupki.prom.ua/remote/dispatcher/state_purchase_view/26757576" ref="B389" r:id="rId770"/>
    <hyperlink display="https://my.zakupki.prom.ua/remote/dispatcher/state_contracting_view/9447767" ref="D389" r:id="rId771"/>
    <hyperlink display="https://my.zakupki.prom.ua/remote/dispatcher/state_purchase_view/23793294" ref="B390" r:id="rId772"/>
    <hyperlink display="https://my.zakupki.prom.ua/remote/dispatcher/state_contracting_view/7771462" ref="D390" r:id="rId773"/>
    <hyperlink display="https://my.zakupki.prom.ua/remote/dispatcher/state_purchase_view/27065187" ref="B391" r:id="rId774"/>
    <hyperlink display="https://my.zakupki.prom.ua/remote/dispatcher/state_contracting_view/9125811" ref="D391" r:id="rId775"/>
    <hyperlink display="https://my.zakupki.prom.ua/remote/dispatcher/state_purchase_view/27081668" ref="B392" r:id="rId776"/>
    <hyperlink display="https://my.zakupki.prom.ua/remote/dispatcher/state_contracting_view/9130297" ref="D392" r:id="rId777"/>
    <hyperlink display="https://my.zakupki.prom.ua/remote/dispatcher/state_purchase_view/27065840" ref="B393" r:id="rId778"/>
    <hyperlink display="https://my.zakupki.prom.ua/remote/dispatcher/state_contracting_view/9125654" ref="D393" r:id="rId779"/>
    <hyperlink display="https://my.zakupki.prom.ua/remote/dispatcher/state_purchase_view/30275785" ref="B394" r:id="rId780"/>
    <hyperlink display="https://my.zakupki.prom.ua/remote/dispatcher/state_contracting_view/10627536" ref="D394" r:id="rId781"/>
    <hyperlink display="https://my.zakupki.prom.ua/remote/dispatcher/state_purchase_view/30286590" ref="B395" r:id="rId782"/>
    <hyperlink display="https://my.zakupki.prom.ua/remote/dispatcher/state_contracting_view/10632629" ref="D395" r:id="rId783"/>
    <hyperlink display="https://my.zakupki.prom.ua/remote/dispatcher/state_purchase_view/25562255" ref="B396" r:id="rId784"/>
    <hyperlink display="https://my.zakupki.prom.ua/remote/dispatcher/state_contracting_view/8404988" ref="D396" r:id="rId785"/>
    <hyperlink display="https://my.zakupki.prom.ua/remote/dispatcher/state_purchase_view/26709953" ref="B397" r:id="rId786"/>
    <hyperlink display="https://my.zakupki.prom.ua/remote/dispatcher/state_contracting_view/8953396" ref="D397" r:id="rId787"/>
    <hyperlink display="https://my.zakupki.prom.ua/remote/dispatcher/state_purchase_view/26482934" ref="B398" r:id="rId788"/>
    <hyperlink display="https://my.zakupki.prom.ua/remote/dispatcher/state_contracting_view/8861349" ref="D398" r:id="rId789"/>
    <hyperlink display="https://my.zakupki.prom.ua/remote/dispatcher/state_purchase_view/26047305" ref="B399" r:id="rId790"/>
    <hyperlink display="https://my.zakupki.prom.ua/remote/dispatcher/state_contracting_view/8635991" ref="D399" r:id="rId791"/>
    <hyperlink display="https://my.zakupki.prom.ua/remote/dispatcher/state_purchase_view/23374638" ref="B400" r:id="rId792"/>
    <hyperlink display="https://my.zakupki.prom.ua/remote/dispatcher/state_contracting_view/7384640" ref="D400" r:id="rId793"/>
    <hyperlink display="https://my.zakupki.prom.ua/remote/dispatcher/state_purchase_view/23416735" ref="B401" r:id="rId794"/>
    <hyperlink display="https://my.zakupki.prom.ua/remote/dispatcher/state_contracting_view/7403136" ref="D401" r:id="rId795"/>
    <hyperlink display="https://my.zakupki.prom.ua/remote/dispatcher/state_purchase_view/23264973" ref="B402" r:id="rId796"/>
    <hyperlink display="https://my.zakupki.prom.ua/remote/dispatcher/state_contracting_view/7337763" ref="D402" r:id="rId797"/>
    <hyperlink display="https://my.zakupki.prom.ua/remote/dispatcher/state_purchase_view/28150251" ref="B403" r:id="rId798"/>
    <hyperlink display="https://my.zakupki.prom.ua/remote/dispatcher/state_contracting_view/9641172" ref="D403" r:id="rId799"/>
    <hyperlink display="https://my.zakupki.prom.ua/remote/dispatcher/state_purchase_view/30778343" ref="B404" r:id="rId800"/>
    <hyperlink display="https://my.zakupki.prom.ua/remote/dispatcher/state_contracting_view/10859499" ref="D404" r:id="rId801"/>
    <hyperlink display="https://my.zakupki.prom.ua/remote/dispatcher/state_purchase_view/22940317" ref="B405" r:id="rId802"/>
    <hyperlink display="https://my.zakupki.prom.ua/remote/dispatcher/state_contracting_view/7216879" ref="D405" r:id="rId803"/>
    <hyperlink display="https://my.zakupki.prom.ua/remote/dispatcher/state_purchase_view/32227257" ref="B406" r:id="rId804"/>
    <hyperlink display="https://my.zakupki.prom.ua/remote/dispatcher/state_contracting_view/12255928" ref="D406" r:id="rId805"/>
    <hyperlink display="https://my.zakupki.prom.ua/remote/dispatcher/state_purchase_view/32917084" ref="B407" r:id="rId806"/>
    <hyperlink display="https://my.zakupki.prom.ua/remote/dispatcher/state_contracting_view/11845120" ref="D407" r:id="rId807"/>
    <hyperlink display="https://my.zakupki.prom.ua/remote/dispatcher/state_purchase_view/25058217" ref="B408" r:id="rId808"/>
    <hyperlink display="https://my.zakupki.prom.ua/remote/dispatcher/state_contracting_view/8164745" ref="D408" r:id="rId809"/>
    <hyperlink display="https://my.zakupki.prom.ua/remote/dispatcher/state_purchase_view/25564409" ref="B409" r:id="rId810"/>
    <hyperlink display="https://my.zakupki.prom.ua/remote/dispatcher/state_contracting_view/8409228" ref="D409" r:id="rId811"/>
    <hyperlink display="https://my.zakupki.prom.ua/remote/dispatcher/state_purchase_view/26302563" ref="B410" r:id="rId812"/>
    <hyperlink display="https://my.zakupki.prom.ua/remote/dispatcher/state_contracting_view/8774404" ref="D410" r:id="rId813"/>
    <hyperlink display="https://my.zakupki.prom.ua/remote/dispatcher/state_purchase_view/25632153" ref="B411" r:id="rId814"/>
    <hyperlink display="https://my.zakupki.prom.ua/remote/dispatcher/state_contracting_view/8442928" ref="D411" r:id="rId815"/>
    <hyperlink display="https://my.zakupki.prom.ua/remote/dispatcher/state_purchase_view/25522593" ref="B412" r:id="rId816"/>
    <hyperlink display="https://my.zakupki.prom.ua/remote/dispatcher/state_contracting_view/8386262" ref="D412" r:id="rId817"/>
    <hyperlink display="https://my.zakupki.prom.ua/remote/dispatcher/state_purchase_view/26236662" ref="B413" r:id="rId818"/>
    <hyperlink display="https://my.zakupki.prom.ua/remote/dispatcher/state_contracting_view/8733810" ref="D413" r:id="rId819"/>
    <hyperlink display="https://my.zakupki.prom.ua/remote/dispatcher/state_purchase_view/26184770" ref="B414" r:id="rId820"/>
    <hyperlink display="https://my.zakupki.prom.ua/remote/dispatcher/state_contracting_view/8703519" ref="D414" r:id="rId821"/>
    <hyperlink display="https://my.zakupki.prom.ua/remote/dispatcher/state_purchase_view/25518186" ref="B415" r:id="rId822"/>
    <hyperlink display="https://my.zakupki.prom.ua/remote/dispatcher/state_contracting_view/8383778" ref="D415" r:id="rId823"/>
    <hyperlink display="https://my.zakupki.prom.ua/remote/dispatcher/state_purchase_view/26048760" ref="B416" r:id="rId824"/>
    <hyperlink display="https://my.zakupki.prom.ua/remote/dispatcher/state_contracting_view/8648870" ref="D416" r:id="rId825"/>
    <hyperlink display="https://my.zakupki.prom.ua/remote/dispatcher/state_purchase_view/25633006" ref="B417" r:id="rId826"/>
    <hyperlink display="https://my.zakupki.prom.ua/remote/dispatcher/state_contracting_view/8443340" ref="D417" r:id="rId827"/>
    <hyperlink display="https://my.zakupki.prom.ua/remote/dispatcher/state_purchase_view/27736391" ref="B418" r:id="rId828"/>
    <hyperlink display="https://my.zakupki.prom.ua/remote/dispatcher/state_contracting_view/9440777" ref="D418" r:id="rId829"/>
    <hyperlink display="https://my.zakupki.prom.ua/remote/dispatcher/state_purchase_view/31620957" ref="B419" r:id="rId830"/>
    <hyperlink display="https://my.zakupki.prom.ua/remote/dispatcher/state_contracting_view/11245056" ref="D419" r:id="rId831"/>
    <hyperlink display="https://my.zakupki.prom.ua/remote/dispatcher/state_purchase_view/33781255" ref="B420" r:id="rId832"/>
    <hyperlink display="https://my.zakupki.prom.ua/remote/dispatcher/state_contracting_view/12288974" ref="D420" r:id="rId833"/>
    <hyperlink display="https://my.zakupki.prom.ua/remote/dispatcher/state_purchase_view/31423410" ref="B421" r:id="rId834"/>
    <hyperlink display="https://my.zakupki.prom.ua/remote/dispatcher/state_contracting_view/11449616" ref="D421" r:id="rId835"/>
    <hyperlink display="https://my.zakupki.prom.ua/remote/dispatcher/state_purchase_view/31412845" ref="B422" r:id="rId836"/>
    <hyperlink display="https://my.zakupki.prom.ua/remote/dispatcher/state_contracting_view/11516712" ref="D422" r:id="rId837"/>
    <hyperlink display="https://my.zakupki.prom.ua/remote/dispatcher/state_purchase_view/30288665" ref="B423" r:id="rId838"/>
    <hyperlink display="https://my.zakupki.prom.ua/remote/dispatcher/state_contracting_view/10633640" ref="D423" r:id="rId839"/>
    <hyperlink display="https://my.zakupki.prom.ua/remote/dispatcher/state_purchase_view/30282829" ref="B424" r:id="rId840"/>
    <hyperlink display="https://my.zakupki.prom.ua/remote/dispatcher/state_contracting_view/10630748" ref="D424" r:id="rId841"/>
    <hyperlink display="https://my.zakupki.prom.ua/remote/dispatcher/state_purchase_view/29473692" ref="B425" r:id="rId842"/>
    <hyperlink display="https://my.zakupki.prom.ua/remote/dispatcher/state_contracting_view/10257360" ref="D425" r:id="rId843"/>
    <hyperlink display="https://my.zakupki.prom.ua/remote/dispatcher/state_purchase_view/27777655" ref="B426" r:id="rId844"/>
    <hyperlink display="https://my.zakupki.prom.ua/remote/dispatcher/state_contracting_view/9464808" ref="D426" r:id="rId845"/>
    <hyperlink display="https://my.zakupki.prom.ua/remote/dispatcher/state_purchase_view/31919769" ref="B427" r:id="rId846"/>
    <hyperlink display="https://my.zakupki.prom.ua/remote/dispatcher/state_contracting_view/11382795" ref="D427" r:id="rId847"/>
    <hyperlink display="https://my.zakupki.prom.ua/remote/dispatcher/state_purchase_view/31886150" ref="B428" r:id="rId848"/>
    <hyperlink display="https://my.zakupki.prom.ua/remote/dispatcher/state_contracting_view/11368000" ref="D428" r:id="rId849"/>
    <hyperlink display="https://my.zakupki.prom.ua/remote/dispatcher/state_purchase_view/26336441" ref="B429" r:id="rId850"/>
    <hyperlink display="https://my.zakupki.prom.ua/remote/dispatcher/state_contracting_view/8777582" ref="D429" r:id="rId851"/>
    <hyperlink display="https://my.zakupki.prom.ua/remote/dispatcher/state_purchase_view/26613388" ref="B430" r:id="rId852"/>
    <hyperlink display="https://my.zakupki.prom.ua/remote/dispatcher/state_contracting_view/8907938" ref="D430" r:id="rId853"/>
    <hyperlink display="https://my.zakupki.prom.ua/remote/dispatcher/state_purchase_view/29045499" ref="B431" r:id="rId854"/>
    <hyperlink display="https://my.zakupki.prom.ua/remote/dispatcher/state_contracting_view/10190880" ref="D431" r:id="rId855"/>
    <hyperlink display="https://my.zakupki.prom.ua/remote/dispatcher/state_purchase_view/29478061" ref="B432" r:id="rId856"/>
    <hyperlink display="https://my.zakupki.prom.ua/remote/dispatcher/state_contracting_view/10359443" ref="D432" r:id="rId857"/>
    <hyperlink display="https://my.zakupki.prom.ua/remote/dispatcher/state_purchase_view/31535682" ref="B433" r:id="rId858"/>
    <hyperlink display="https://my.zakupki.prom.ua/remote/dispatcher/state_contracting_view/11410159" ref="D433" r:id="rId859"/>
    <hyperlink display="https://my.zakupki.prom.ua/remote/dispatcher/state_purchase_view/31289247" ref="B434" r:id="rId860"/>
    <hyperlink display="https://my.zakupki.prom.ua/remote/dispatcher/state_contracting_view/11592120" ref="D434" r:id="rId861"/>
    <hyperlink display="https://my.zakupki.prom.ua/remote/dispatcher/state_purchase_view/27740435" ref="B435" r:id="rId862"/>
    <hyperlink display="https://my.zakupki.prom.ua/remote/dispatcher/state_contracting_view/9442791" ref="D435" r:id="rId863"/>
    <hyperlink display="https://my.zakupki.prom.ua/remote/dispatcher/state_purchase_view/27773810" ref="B436" r:id="rId864"/>
    <hyperlink display="https://my.zakupki.prom.ua/remote/dispatcher/state_contracting_view/9465604" ref="D436" r:id="rId865"/>
    <hyperlink display="https://my.zakupki.prom.ua/remote/dispatcher/state_purchase_view/27742525" ref="B437" r:id="rId866"/>
    <hyperlink display="https://my.zakupki.prom.ua/remote/dispatcher/state_contracting_view/9443717" ref="D437" r:id="rId867"/>
    <hyperlink display="https://my.zakupki.prom.ua/remote/dispatcher/state_purchase_view/25728077" ref="B438" r:id="rId868"/>
    <hyperlink display="https://my.zakupki.prom.ua/remote/dispatcher/state_contracting_view/8488669" ref="D438" r:id="rId869"/>
    <hyperlink display="https://my.zakupki.prom.ua/remote/dispatcher/state_purchase_view/29429691" ref="B439" r:id="rId870"/>
    <hyperlink display="https://my.zakupki.prom.ua/remote/dispatcher/state_contracting_view/10236888" ref="D439" r:id="rId871"/>
    <hyperlink display="https://my.zakupki.prom.ua/remote/dispatcher/state_purchase_view/30153498" ref="B440" r:id="rId872"/>
    <hyperlink display="https://my.zakupki.prom.ua/remote/dispatcher/state_contracting_view/10570806" ref="D440" r:id="rId873"/>
    <hyperlink display="https://my.zakupki.prom.ua/remote/dispatcher/state_purchase_view/24857025" ref="B441" r:id="rId874"/>
    <hyperlink display="https://my.zakupki.prom.ua/remote/dispatcher/state_contracting_view/8067875" ref="D441" r:id="rId875"/>
    <hyperlink display="https://my.zakupki.prom.ua/remote/dispatcher/state_purchase_view/24775592" ref="B442" r:id="rId876"/>
    <hyperlink display="https://my.zakupki.prom.ua/remote/dispatcher/state_contracting_view/8028853" ref="D442" r:id="rId877"/>
    <hyperlink display="https://my.zakupki.prom.ua/remote/dispatcher/state_purchase_view/25778485" ref="B443" r:id="rId878"/>
    <hyperlink display="https://my.zakupki.prom.ua/remote/dispatcher/state_contracting_view/9240781" ref="D443" r:id="rId879"/>
    <hyperlink display="https://my.zakupki.prom.ua/remote/dispatcher/state_purchase_view/24053120" ref="B444" r:id="rId880"/>
    <hyperlink display="https://my.zakupki.prom.ua/remote/dispatcher/state_contracting_view/7688059" ref="D444" r:id="rId881"/>
    <hyperlink display="https://my.zakupki.prom.ua/remote/dispatcher/state_purchase_view/27775630" ref="B445" r:id="rId882"/>
    <hyperlink display="https://my.zakupki.prom.ua/remote/dispatcher/state_contracting_view/9465197" ref="D445" r:id="rId883"/>
    <hyperlink display="https://my.zakupki.prom.ua/remote/dispatcher/state_purchase_view/28150988" ref="B446" r:id="rId884"/>
    <hyperlink display="https://my.zakupki.prom.ua/remote/dispatcher/state_contracting_view/9641438" ref="D446" r:id="rId885"/>
    <hyperlink display="https://my.zakupki.prom.ua/remote/dispatcher/state_purchase_view/33147817" ref="B447" r:id="rId886"/>
    <hyperlink display="https://my.zakupki.prom.ua/remote/dispatcher/state_contracting_view/11991432" ref="D447" r:id="rId887"/>
    <hyperlink display="https://my.zakupki.prom.ua/remote/dispatcher/state_purchase_view/33472905" ref="B448" r:id="rId888"/>
    <hyperlink display="https://my.zakupki.prom.ua/remote/dispatcher/state_contracting_view/12114374" ref="D448" r:id="rId889"/>
    <hyperlink display="https://my.zakupki.prom.ua/remote/dispatcher/state_purchase_view/24781851" ref="B449" r:id="rId890"/>
    <hyperlink display="https://my.zakupki.prom.ua/remote/dispatcher/state_contracting_view/8044078" ref="D449" r:id="rId891"/>
    <hyperlink display="https://my.zakupki.prom.ua/remote/dispatcher/state_purchase_view/25065752" ref="B450" r:id="rId892"/>
    <hyperlink display="https://my.zakupki.prom.ua/remote/dispatcher/state_contracting_view/8169197" ref="D450" r:id="rId893"/>
    <hyperlink display="https://my.zakupki.prom.ua/remote/dispatcher/state_purchase_view/23687014" ref="B451" r:id="rId894"/>
    <hyperlink display="https://my.zakupki.prom.ua/remote/dispatcher/state_contracting_view/7537240" ref="D451" r:id="rId895"/>
    <hyperlink display="https://my.zakupki.prom.ua/remote/dispatcher/state_purchase_view/25187913" ref="B452" r:id="rId896"/>
    <hyperlink display="https://my.zakupki.prom.ua/remote/dispatcher/state_contracting_view/8235071" ref="D452" r:id="rId897"/>
    <hyperlink display="https://my.zakupki.prom.ua/remote/dispatcher/state_purchase_view/26258000" ref="B453" r:id="rId898"/>
    <hyperlink display="https://my.zakupki.prom.ua/remote/dispatcher/state_contracting_view/8738853" ref="D453" r:id="rId899"/>
    <hyperlink display="https://my.zakupki.prom.ua/remote/dispatcher/state_purchase_view/26276014" ref="B454" r:id="rId900"/>
    <hyperlink display="https://my.zakupki.prom.ua/remote/dispatcher/state_contracting_view/8746738" ref="D454" r:id="rId901"/>
    <hyperlink display="https://my.zakupki.prom.ua/remote/dispatcher/state_purchase_view/24901581" ref="B455" r:id="rId902"/>
    <hyperlink display="https://my.zakupki.prom.ua/remote/dispatcher/state_contracting_view/8090244" ref="D455" r:id="rId903"/>
    <hyperlink display="https://my.zakupki.prom.ua/remote/dispatcher/state_purchase_view/24900830" ref="B456" r:id="rId904"/>
    <hyperlink display="https://my.zakupki.prom.ua/remote/dispatcher/state_contracting_view/8089701" ref="D456" r:id="rId905"/>
    <hyperlink display="https://my.zakupki.prom.ua/remote/dispatcher/state_purchase_view/24931865" ref="B457" r:id="rId906"/>
    <hyperlink display="https://my.zakupki.prom.ua/remote/dispatcher/state_contracting_view/8113786" ref="D457" r:id="rId907"/>
    <hyperlink display="https://my.zakupki.prom.ua/remote/dispatcher/state_purchase_view/24869127" ref="B458" r:id="rId908"/>
    <hyperlink display="https://my.zakupki.prom.ua/remote/dispatcher/state_contracting_view/8085023" ref="D458" r:id="rId909"/>
    <hyperlink display="https://my.zakupki.prom.ua/remote/dispatcher/state_purchase_view/24347927" ref="B459" r:id="rId910"/>
    <hyperlink display="https://my.zakupki.prom.ua/remote/dispatcher/state_contracting_view/7825660" ref="D459" r:id="rId911"/>
    <hyperlink display="https://my.zakupki.prom.ua/remote/dispatcher/state_purchase_view/30255993" ref="B460" r:id="rId912"/>
    <hyperlink display="https://my.zakupki.prom.ua/remote/dispatcher/state_contracting_view/10618221" ref="D460" r:id="rId913"/>
    <hyperlink display="https://my.zakupki.prom.ua/remote/dispatcher/state_purchase_view/24087289" ref="B461" r:id="rId914"/>
    <hyperlink display="https://my.zakupki.prom.ua/remote/dispatcher/state_contracting_view/7713606" ref="D461" r:id="rId915"/>
    <hyperlink display="https://my.zakupki.prom.ua/remote/dispatcher/state_purchase_view/25074123" ref="B462" r:id="rId916"/>
    <hyperlink display="https://my.zakupki.prom.ua/remote/dispatcher/state_contracting_view/8180344" ref="D462" r:id="rId917"/>
    <hyperlink display="https://my.zakupki.prom.ua/remote/dispatcher/state_purchase_view/33439995" ref="B463" r:id="rId918"/>
    <hyperlink display="https://my.zakupki.prom.ua/remote/dispatcher/state_contracting_view/12098101" ref="D463" r:id="rId919"/>
    <hyperlink display="https://my.zakupki.prom.ua/remote/dispatcher/state_purchase_view/30526394" ref="B464" r:id="rId920"/>
    <hyperlink display="https://my.zakupki.prom.ua/remote/dispatcher/state_contracting_view/10752937" ref="D464" r:id="rId921"/>
    <hyperlink display="https://my.zakupki.prom.ua/remote/dispatcher/state_purchase_view/26751382" ref="B465" r:id="rId922"/>
    <hyperlink display="https://my.zakupki.prom.ua/remote/dispatcher/state_contracting_view/8973247" ref="D465" r:id="rId923"/>
    <hyperlink display="https://my.zakupki.prom.ua/remote/dispatcher/state_purchase_view/26384686" ref="B466" r:id="rId924"/>
    <hyperlink display="https://my.zakupki.prom.ua/remote/dispatcher/state_contracting_view/8814112" ref="D466" r:id="rId925"/>
    <hyperlink display="https://my.zakupki.prom.ua/remote/dispatcher/state_purchase_view/26382710" ref="B467" r:id="rId926"/>
    <hyperlink display="https://my.zakupki.prom.ua/remote/dispatcher/state_contracting_view/8798494" ref="D467" r:id="rId927"/>
    <hyperlink display="https://my.zakupki.prom.ua/remote/dispatcher/state_purchase_view/31088204" ref="B468" r:id="rId928"/>
    <hyperlink display="https://my.zakupki.prom.ua/remote/dispatcher/state_contracting_view/11001640" ref="D468" r:id="rId929"/>
    <hyperlink display="https://my.zakupki.prom.ua/remote/dispatcher/state_purchase_view/31104798" ref="B469" r:id="rId930"/>
    <hyperlink display="https://my.zakupki.prom.ua/remote/dispatcher/state_contracting_view/11009603" ref="D469" r:id="rId931"/>
    <hyperlink display="https://my.zakupki.prom.ua/remote/dispatcher/state_purchase_view/25260949" ref="B470" r:id="rId932"/>
    <hyperlink display="https://my.zakupki.prom.ua/remote/dispatcher/state_contracting_view/8282413" ref="D470" r:id="rId933"/>
    <hyperlink display="https://my.zakupki.prom.ua/remote/dispatcher/state_purchase_view/25260511" ref="B471" r:id="rId934"/>
    <hyperlink display="https://my.zakupki.prom.ua/remote/dispatcher/state_contracting_view/8280847" ref="D471" r:id="rId935"/>
    <hyperlink display="https://my.zakupki.prom.ua/remote/dispatcher/state_purchase_view/24420273" ref="B472" r:id="rId936"/>
    <hyperlink display="https://my.zakupki.prom.ua/remote/dispatcher/state_contracting_view/7860283" ref="D472" r:id="rId937"/>
    <hyperlink display="https://my.zakupki.prom.ua/remote/dispatcher/state_purchase_view/26302860" ref="B473" r:id="rId938"/>
    <hyperlink display="https://my.zakupki.prom.ua/remote/dispatcher/state_contracting_view/8774552" ref="D473" r:id="rId939"/>
    <hyperlink display="https://my.zakupki.prom.ua/remote/dispatcher/state_purchase_view/23266380" ref="B474" r:id="rId940"/>
    <hyperlink display="https://my.zakupki.prom.ua/remote/dispatcher/state_contracting_view/7338548" ref="D474" r:id="rId941"/>
    <hyperlink display="https://my.zakupki.prom.ua/remote/dispatcher/state_purchase_view/30910325" ref="B475" r:id="rId942"/>
    <hyperlink display="https://my.zakupki.prom.ua/remote/dispatcher/state_contracting_view/10920078" ref="D475" r:id="rId943"/>
    <hyperlink display="https://my.zakupki.prom.ua/remote/dispatcher/state_purchase_view/22894847" ref="B476" r:id="rId944"/>
    <hyperlink display="https://my.zakupki.prom.ua/remote/dispatcher/state_contracting_view/7202577" ref="D476" r:id="rId945"/>
    <hyperlink display="https://my.zakupki.prom.ua/remote/dispatcher/state_purchase_view/26997160" ref="B477" r:id="rId946"/>
    <hyperlink display="https://my.zakupki.prom.ua/remote/dispatcher/state_contracting_view/9091130" ref="D477" r:id="rId947"/>
    <hyperlink display="https://my.zakupki.prom.ua/remote/dispatcher/state_purchase_view/26303658" ref="B478" r:id="rId948"/>
    <hyperlink display="https://my.zakupki.prom.ua/remote/dispatcher/state_contracting_view/8774312" ref="D478" r:id="rId949"/>
    <hyperlink display="https://my.zakupki.prom.ua/remote/dispatcher/state_purchase_view/24349051" ref="B479" r:id="rId950"/>
    <hyperlink display="https://my.zakupki.prom.ua/remote/dispatcher/state_contracting_view/7826179" ref="D479" r:id="rId951"/>
    <hyperlink display="https://my.zakupki.prom.ua/remote/dispatcher/state_purchase_view/24285329" ref="B480" r:id="rId952"/>
    <hyperlink display="https://my.zakupki.prom.ua/remote/dispatcher/state_contracting_view/7796255" ref="D480" r:id="rId953"/>
    <hyperlink display="https://my.zakupki.prom.ua/remote/dispatcher/state_purchase_view/24256879" ref="B481" r:id="rId954"/>
    <hyperlink display="https://my.zakupki.prom.ua/remote/dispatcher/state_contracting_view/7785795" ref="D481" r:id="rId955"/>
    <hyperlink display="https://my.zakupki.prom.ua/remote/dispatcher/state_purchase_view/25660896" ref="B482" r:id="rId956"/>
    <hyperlink display="https://my.zakupki.prom.ua/remote/dispatcher/state_contracting_view/8453549" ref="D482" r:id="rId957"/>
    <hyperlink display="https://my.zakupki.prom.ua/remote/dispatcher/state_purchase_view/25357535" ref="B483" r:id="rId958"/>
    <hyperlink display="https://my.zakupki.prom.ua/remote/dispatcher/state_contracting_view/8307985" ref="D483" r:id="rId959"/>
    <hyperlink display="https://my.zakupki.prom.ua/remote/dispatcher/state_purchase_view/25237756" ref="B484" r:id="rId960"/>
    <hyperlink display="https://my.zakupki.prom.ua/remote/dispatcher/state_contracting_view/8273418" ref="D484" r:id="rId961"/>
    <hyperlink display="https://my.zakupki.prom.ua/remote/dispatcher/state_purchase_view/28178286" ref="B485" r:id="rId962"/>
    <hyperlink display="https://my.zakupki.prom.ua/remote/dispatcher/state_contracting_view/9653354" ref="D485" r:id="rId963"/>
    <hyperlink display="https://my.zakupki.prom.ua/remote/dispatcher/state_purchase_view/24261197" ref="B486" r:id="rId964"/>
    <hyperlink display="https://my.zakupki.prom.ua/remote/dispatcher/state_contracting_view/7789966" ref="D486" r:id="rId965"/>
    <hyperlink display="https://my.zakupki.prom.ua/remote/dispatcher/state_purchase_view/23527664" ref="B487" r:id="rId966"/>
    <hyperlink display="https://my.zakupki.prom.ua/remote/dispatcher/state_contracting_view/7450522" ref="D487" r:id="rId967"/>
    <hyperlink display="https://my.zakupki.prom.ua/remote/dispatcher/state_purchase_view/23773994" ref="B488" r:id="rId968"/>
    <hyperlink display="https://my.zakupki.prom.ua/remote/dispatcher/state_contracting_view/7558997" ref="D488" r:id="rId969"/>
    <hyperlink display="https://my.zakupki.prom.ua/remote/dispatcher/state_purchase_view/26605788" ref="B489" r:id="rId970"/>
    <hyperlink display="https://my.zakupki.prom.ua/remote/dispatcher/state_contracting_view/8907241" ref="D489" r:id="rId971"/>
    <hyperlink display="https://my.zakupki.prom.ua/remote/dispatcher/state_purchase_view/26613134" ref="B490" r:id="rId972"/>
    <hyperlink display="https://my.zakupki.prom.ua/remote/dispatcher/state_contracting_view/8907670" ref="D490" r:id="rId973"/>
    <hyperlink display="https://my.zakupki.prom.ua/remote/dispatcher/state_purchase_view/26549643" ref="B491" r:id="rId974"/>
    <hyperlink display="https://my.zakupki.prom.ua/remote/dispatcher/state_contracting_view/8878109" ref="D491" r:id="rId975"/>
    <hyperlink display="https://my.zakupki.prom.ua/remote/dispatcher/state_purchase_view/26604397" ref="B492" r:id="rId976"/>
    <hyperlink display="https://my.zakupki.prom.ua/remote/dispatcher/state_contracting_view/8903396" ref="D492" r:id="rId977"/>
    <hyperlink display="https://my.zakupki.prom.ua/remote/dispatcher/state_purchase_view/30681727" ref="B493" r:id="rId978"/>
    <hyperlink display="https://my.zakupki.prom.ua/remote/dispatcher/state_contracting_view/10813241" ref="D493" r:id="rId979"/>
    <hyperlink display="https://my.zakupki.prom.ua/remote/dispatcher/state_purchase_view/24458215" ref="B494" r:id="rId980"/>
    <hyperlink display="https://my.zakupki.prom.ua/remote/dispatcher/state_contracting_view/7878160" ref="D494" r:id="rId981"/>
    <hyperlink display="https://my.zakupki.prom.ua/remote/dispatcher/state_purchase_view/27821185" ref="B495" r:id="rId982"/>
    <hyperlink display="https://my.zakupki.prom.ua/remote/dispatcher/state_contracting_view/9484424" ref="D495" r:id="rId983"/>
    <hyperlink display="https://my.zakupki.prom.ua/remote/dispatcher/state_purchase_view/29173633" ref="B496" r:id="rId984"/>
    <hyperlink display="https://my.zakupki.prom.ua/remote/dispatcher/state_contracting_view/10116914" ref="D496" r:id="rId985"/>
    <hyperlink display="https://my.zakupki.prom.ua/remote/dispatcher/state_purchase_view/32319564" ref="B497" r:id="rId986"/>
    <hyperlink display="https://my.zakupki.prom.ua/remote/dispatcher/state_contracting_view/11566772" ref="D497" r:id="rId987"/>
    <hyperlink display="https://my.zakupki.prom.ua/remote/dispatcher/state_purchase_view/25208826" ref="B498" r:id="rId988"/>
    <hyperlink display="https://my.zakupki.prom.ua/remote/dispatcher/state_contracting_view/8248646" ref="D498" r:id="rId989"/>
    <hyperlink display="https://my.zakupki.prom.ua/remote/dispatcher/state_purchase_view/25132017" ref="B499" r:id="rId990"/>
    <hyperlink display="https://my.zakupki.prom.ua/remote/dispatcher/state_contracting_view/8203969" ref="D499" r:id="rId991"/>
    <hyperlink display="https://my.zakupki.prom.ua/remote/dispatcher/state_purchase_view/24746536" ref="B500" r:id="rId992"/>
    <hyperlink display="https://my.zakupki.prom.ua/remote/dispatcher/state_contracting_view/8021481" ref="D500" r:id="rId993"/>
    <hyperlink display="https://my.zakupki.prom.ua/remote/dispatcher/state_purchase_view/24855159" ref="B501" r:id="rId994"/>
    <hyperlink display="https://my.zakupki.prom.ua/remote/dispatcher/state_contracting_view/8067036" ref="D501" r:id="rId995"/>
    <hyperlink display="https://my.zakupki.prom.ua/remote/dispatcher/state_purchase_view/24577971" ref="B502" r:id="rId996"/>
    <hyperlink display="https://my.zakupki.prom.ua/remote/dispatcher/state_contracting_view/7939978" ref="D502" r:id="rId997"/>
    <hyperlink display="https://my.zakupki.prom.ua/remote/dispatcher/state_purchase_view/24299628" ref="B503" r:id="rId998"/>
    <hyperlink display="https://my.zakupki.prom.ua/remote/dispatcher/state_contracting_view/7803185" ref="D503" r:id="rId999"/>
    <hyperlink display="https://my.zakupki.prom.ua/remote/dispatcher/state_purchase_view/32213413" ref="B504" r:id="rId1000"/>
    <hyperlink display="https://my.zakupki.prom.ua/remote/dispatcher/state_contracting_view/11520112" ref="D504" r:id="rId1001"/>
    <hyperlink display="https://my.zakupki.prom.ua/remote/dispatcher/state_purchase_view/33549498" ref="B505" r:id="rId1002"/>
    <hyperlink display="https://my.zakupki.prom.ua/remote/dispatcher/state_contracting_view/12151442" ref="D505" r:id="rId1003"/>
    <hyperlink display="https://my.zakupki.prom.ua/remote/dispatcher/state_purchase_view/32920460" ref="B506" r:id="rId1004"/>
    <hyperlink display="https://my.zakupki.prom.ua/remote/dispatcher/state_contracting_view/11846150" ref="D506" r:id="rId1005"/>
    <hyperlink display="https://my.zakupki.prom.ua/remote/dispatcher/state_purchase_view/32917947" ref="B507" r:id="rId1006"/>
    <hyperlink display="https://my.zakupki.prom.ua/remote/dispatcher/state_contracting_view/11845196" ref="D507" r:id="rId1007"/>
    <hyperlink display="https://my.zakupki.prom.ua/remote/dispatcher/state_purchase_view/32575172" ref="B508" r:id="rId1008"/>
    <hyperlink display="https://my.zakupki.prom.ua/remote/dispatcher/state_contracting_view/11684619" ref="D508" r:id="rId1009"/>
    <hyperlink display="https://my.zakupki.prom.ua/remote/dispatcher/state_purchase_view/25828094" ref="B509" r:id="rId1010"/>
    <hyperlink display="https://my.zakupki.prom.ua/remote/dispatcher/state_contracting_view/8531527" ref="D509" r:id="rId1011"/>
    <hyperlink display="https://my.zakupki.prom.ua/remote/dispatcher/state_purchase_view/24872787" ref="B510" r:id="rId1012"/>
    <hyperlink display="https://my.zakupki.prom.ua/remote/dispatcher/state_contracting_view/8085230" ref="D510" r:id="rId1013"/>
    <hyperlink display="https://my.zakupki.prom.ua/remote/dispatcher/state_purchase_view/24790584" ref="B511" r:id="rId1014"/>
    <hyperlink display="https://my.zakupki.prom.ua/remote/dispatcher/state_contracting_view/8045107" ref="D511" r:id="rId1015"/>
    <hyperlink display="https://my.zakupki.prom.ua/remote/dispatcher/state_purchase_view/25589511" ref="B512" r:id="rId1016"/>
    <hyperlink display="https://my.zakupki.prom.ua/remote/dispatcher/state_contracting_view/8419427" ref="D512" r:id="rId1017"/>
    <hyperlink display="https://my.zakupki.prom.ua/remote/dispatcher/state_purchase_view/25588623" ref="B513" r:id="rId1018"/>
    <hyperlink display="https://my.zakupki.prom.ua/remote/dispatcher/state_contracting_view/8419164" ref="D513" r:id="rId1019"/>
    <hyperlink display="https://my.zakupki.prom.ua/remote/dispatcher/state_purchase_view/25634460" ref="B514" r:id="rId1020"/>
    <hyperlink display="https://my.zakupki.prom.ua/remote/dispatcher/state_contracting_view/8443050" ref="D514" r:id="rId1021"/>
    <hyperlink display="https://my.zakupki.prom.ua/remote/dispatcher/state_purchase_view/25533809" ref="B515" r:id="rId1022"/>
    <hyperlink display="https://my.zakupki.prom.ua/remote/dispatcher/state_contracting_view/8392112" ref="D515" r:id="rId1023"/>
    <hyperlink display="https://my.zakupki.prom.ua/remote/dispatcher/state_purchase_view/28549586" ref="B516" r:id="rId1024"/>
    <hyperlink display="https://my.zakupki.prom.ua/remote/dispatcher/state_contracting_view/9826706" ref="D516" r:id="rId1025"/>
    <hyperlink display="https://my.zakupki.prom.ua/remote/dispatcher/state_purchase_view/30291059" ref="B517" r:id="rId1026"/>
    <hyperlink display="https://my.zakupki.prom.ua/remote/dispatcher/state_contracting_view/10634693" ref="D517" r:id="rId1027"/>
    <hyperlink display="https://my.zakupki.prom.ua/remote/dispatcher/state_purchase_view/29623114" ref="B518" r:id="rId1028"/>
    <hyperlink display="https://my.zakupki.prom.ua/remote/dispatcher/state_contracting_view/10326976" ref="D518" r:id="rId1029"/>
    <hyperlink display="https://my.zakupki.prom.ua/remote/dispatcher/state_purchase_view/29968635" ref="B519" r:id="rId1030"/>
    <hyperlink display="https://my.zakupki.prom.ua/remote/dispatcher/state_contracting_view/10485932" ref="D519" r:id="rId1031"/>
    <hyperlink display="https://my.zakupki.prom.ua/remote/dispatcher/state_purchase_view/30152249" ref="B520" r:id="rId1032"/>
    <hyperlink display="https://my.zakupki.prom.ua/remote/dispatcher/state_contracting_view/10570405" ref="D520" r:id="rId1033"/>
    <hyperlink display="https://my.zakupki.prom.ua/remote/dispatcher/state_purchase_view/23878513" ref="B521" r:id="rId1034"/>
    <hyperlink display="https://my.zakupki.prom.ua/remote/dispatcher/state_contracting_view/7679560" ref="D521" r:id="rId1035"/>
    <hyperlink display="https://my.zakupki.prom.ua/remote/dispatcher/state_purchase_view/24939550" ref="B522" r:id="rId1036"/>
    <hyperlink display="https://my.zakupki.prom.ua/remote/dispatcher/state_contracting_view/8582822" ref="D522" r:id="rId1037"/>
    <hyperlink display="https://my.zakupki.prom.ua/remote/dispatcher/state_purchase_view/32485827" ref="B523" r:id="rId1038"/>
    <hyperlink display="https://my.zakupki.prom.ua/remote/dispatcher/state_contracting_view/11644451" ref="D523" r:id="rId1039"/>
    <hyperlink display="https://my.zakupki.prom.ua/remote/dispatcher/state_purchase_view/31885483" ref="B524" r:id="rId1040"/>
    <hyperlink display="https://my.zakupki.prom.ua/remote/dispatcher/state_contracting_view/11367331" ref="D524" r:id="rId1041"/>
    <hyperlink display="https://my.zakupki.prom.ua/remote/dispatcher/state_purchase_view/27737103" ref="B525" r:id="rId1042"/>
    <hyperlink display="https://my.zakupki.prom.ua/remote/dispatcher/state_contracting_view/9441588" ref="D525" r:id="rId1043"/>
    <hyperlink display="https://my.zakupki.prom.ua/remote/dispatcher/state_purchase_view/26232688" ref="B526" r:id="rId1044"/>
    <hyperlink display="https://my.zakupki.prom.ua/remote/dispatcher/state_contracting_view/8734041" ref="D526" r:id="rId1045"/>
    <hyperlink display="https://my.zakupki.prom.ua/remote/dispatcher/state_purchase_view/26101070" ref="B527" r:id="rId1046"/>
    <hyperlink display="https://my.zakupki.prom.ua/remote/dispatcher/state_contracting_view/8661614" ref="D527" r:id="rId1047"/>
    <hyperlink display="https://my.zakupki.prom.ua/remote/dispatcher/state_purchase_view/26088762" ref="B528" r:id="rId1048"/>
    <hyperlink display="https://my.zakupki.prom.ua/remote/dispatcher/state_contracting_view/8655787" ref="D528" r:id="rId1049"/>
    <hyperlink display="https://my.zakupki.prom.ua/remote/dispatcher/state_purchase_view/33853230" ref="B529" r:id="rId1050"/>
    <hyperlink display="https://my.zakupki.prom.ua/remote/dispatcher/state_contracting_view/12302718" ref="D529" r:id="rId1051"/>
    <hyperlink display="https://my.zakupki.prom.ua/remote/dispatcher/state_purchase_view/24085856" ref="B530" r:id="rId1052"/>
    <hyperlink display="https://my.zakupki.prom.ua/remote/dispatcher/state_contracting_view/7713012" ref="D530" r:id="rId1053"/>
    <hyperlink display="https://my.zakupki.prom.ua/remote/dispatcher/state_purchase_view/25633537" ref="B531" r:id="rId1054"/>
    <hyperlink display="https://my.zakupki.prom.ua/remote/dispatcher/state_contracting_view/8442988" ref="D531" r:id="rId1055"/>
    <hyperlink display="https://my.zakupki.prom.ua/remote/dispatcher/state_purchase_view/25577425" ref="B532" r:id="rId1056"/>
    <hyperlink display="https://my.zakupki.prom.ua/remote/dispatcher/state_contracting_view/8810105" ref="D532" r:id="rId1057"/>
    <hyperlink display="https://my.zakupki.prom.ua/remote/dispatcher/state_purchase_view/26110336" ref="B533" r:id="rId1058"/>
    <hyperlink display="https://my.zakupki.prom.ua/remote/dispatcher/state_contracting_view/8666452" ref="D533" r:id="rId1059"/>
    <hyperlink display="https://my.zakupki.prom.ua/remote/dispatcher/state_purchase_view/26069232" ref="B534" r:id="rId1060"/>
    <hyperlink display="https://my.zakupki.prom.ua/remote/dispatcher/state_contracting_view/8647395" ref="D534" r:id="rId1061"/>
    <hyperlink display="https://my.zakupki.prom.ua/remote/dispatcher/state_purchase_view/26049561" ref="B535" r:id="rId1062"/>
    <hyperlink display="https://my.zakupki.prom.ua/remote/dispatcher/state_contracting_view/8637632" ref="D535" r:id="rId1063"/>
    <hyperlink display="https://my.zakupki.prom.ua/remote/dispatcher/state_purchase_view/25525949" ref="B536" r:id="rId1064"/>
    <hyperlink display="https://my.zakupki.prom.ua/remote/dispatcher/state_contracting_view/8387378" ref="D536" r:id="rId1065"/>
    <hyperlink display="https://my.zakupki.prom.ua/remote/dispatcher/state_purchase_view/25556628" ref="B537" r:id="rId1066"/>
    <hyperlink display="https://my.zakupki.prom.ua/remote/dispatcher/state_contracting_view/8403248" ref="D537" r:id="rId1067"/>
    <hyperlink display="https://my.zakupki.prom.ua/remote/dispatcher/state_purchase_view/25524233" ref="B538" r:id="rId1068"/>
    <hyperlink display="https://my.zakupki.prom.ua/remote/dispatcher/state_contracting_view/8386746" ref="D538" r:id="rId1069"/>
    <hyperlink display="https://my.zakupki.prom.ua/remote/dispatcher/state_purchase_view/25523000" ref="B539" r:id="rId1070"/>
    <hyperlink display="https://my.zakupki.prom.ua/remote/dispatcher/state_contracting_view/8386210" ref="D539" r:id="rId1071"/>
    <hyperlink display="https://my.zakupki.prom.ua/remote/dispatcher/state_purchase_view/25513580" ref="B540" r:id="rId1072"/>
    <hyperlink display="https://my.zakupki.prom.ua/remote/dispatcher/state_contracting_view/8381291" ref="D540" r:id="rId1073"/>
    <hyperlink display="https://my.zakupki.prom.ua/remote/dispatcher/state_purchase_view/25254669" ref="B541" r:id="rId1074"/>
    <hyperlink display="https://my.zakupki.prom.ua/remote/dispatcher/state_contracting_view/8277101" ref="D541" r:id="rId1075"/>
    <hyperlink display="https://my.zakupki.prom.ua/remote/dispatcher/state_purchase_view/25269760" ref="B542" r:id="rId1076"/>
    <hyperlink display="https://my.zakupki.prom.ua/remote/dispatcher/state_contracting_view/8287423" ref="D542" r:id="rId1077"/>
    <hyperlink display="https://my.zakupki.prom.ua/remote/dispatcher/state_purchase_view/26107081" ref="B543" r:id="rId1078"/>
    <hyperlink display="https://my.zakupki.prom.ua/remote/dispatcher/state_contracting_view/8664750" ref="D543" r:id="rId1079"/>
    <hyperlink display="https://my.zakupki.prom.ua/remote/dispatcher/state_purchase_view/26393062" ref="B544" r:id="rId1080"/>
    <hyperlink display="https://my.zakupki.prom.ua/remote/dispatcher/state_contracting_view/8803872" ref="D544" r:id="rId1081"/>
    <hyperlink display="https://my.zakupki.prom.ua/remote/dispatcher/state_purchase_view/26401365" ref="B545" r:id="rId1082"/>
    <hyperlink display="https://my.zakupki.prom.ua/remote/dispatcher/state_contracting_view/8810037" ref="D545" r:id="rId1083"/>
    <hyperlink display="https://my.zakupki.prom.ua/remote/dispatcher/state_purchase_view/26096512" ref="B546" r:id="rId1084"/>
    <hyperlink display="https://my.zakupki.prom.ua/remote/dispatcher/state_contracting_view/8660215" ref="D546" r:id="rId1085"/>
    <hyperlink display="https://my.zakupki.prom.ua/remote/dispatcher/state_purchase_view/25510937" ref="B547" r:id="rId1086"/>
    <hyperlink display="https://my.zakupki.prom.ua/remote/dispatcher/state_contracting_view/8380852" ref="D547" r:id="rId1087"/>
    <hyperlink display="https://my.zakupki.prom.ua/remote/dispatcher/state_purchase_view/26275799" ref="B548" r:id="rId1088"/>
    <hyperlink display="https://my.zakupki.prom.ua/remote/dispatcher/state_contracting_view/8746642" ref="D548" r:id="rId1089"/>
    <hyperlink display="https://my.zakupki.prom.ua/remote/dispatcher/state_purchase_view/26258445" ref="B549" r:id="rId1090"/>
    <hyperlink display="https://my.zakupki.prom.ua/remote/dispatcher/state_contracting_view/8738910" ref="D549" r:id="rId1091"/>
    <hyperlink display="https://my.zakupki.prom.ua/remote/dispatcher/state_purchase_view/26602526" ref="B550" r:id="rId1092"/>
    <hyperlink display="https://my.zakupki.prom.ua/remote/dispatcher/state_contracting_view/8903115" ref="D550" r:id="rId1093"/>
    <hyperlink display="https://my.zakupki.prom.ua/remote/dispatcher/state_purchase_view/26211082" ref="B551" r:id="rId1094"/>
    <hyperlink display="https://my.zakupki.prom.ua/remote/dispatcher/state_contracting_view/8716246" ref="D551" r:id="rId1095"/>
    <hyperlink display="https://my.zakupki.prom.ua/remote/dispatcher/state_purchase_view/26989870" ref="B552" r:id="rId1096"/>
    <hyperlink display="https://my.zakupki.prom.ua/remote/dispatcher/state_contracting_view/9086984" ref="D552" r:id="rId1097"/>
    <hyperlink display="https://my.zakupki.prom.ua/remote/dispatcher/state_purchase_view/26506412" ref="B553" r:id="rId1098"/>
    <hyperlink display="https://my.zakupki.prom.ua/remote/dispatcher/state_contracting_view/8859394" ref="D553" r:id="rId1099"/>
    <hyperlink display="https://my.zakupki.prom.ua/remote/dispatcher/state_purchase_view/25452696" ref="B554" r:id="rId1100"/>
    <hyperlink display="https://my.zakupki.prom.ua/remote/dispatcher/state_contracting_view/8353177" ref="D554" r:id="rId1101"/>
    <hyperlink display="https://my.zakupki.prom.ua/remote/dispatcher/state_purchase_view/27303338" ref="B555" r:id="rId1102"/>
    <hyperlink display="https://my.zakupki.prom.ua/remote/dispatcher/state_contracting_view/9235856" ref="D555" r:id="rId1103"/>
    <hyperlink display="https://my.zakupki.prom.ua/remote/dispatcher/state_purchase_view/30609185" ref="B556" r:id="rId1104"/>
    <hyperlink display="https://my.zakupki.prom.ua/remote/dispatcher/state_contracting_view/10780790" ref="D556" r:id="rId1105"/>
    <hyperlink display="https://my.zakupki.prom.ua/remote/dispatcher/state_purchase_view/23378048" ref="B557" r:id="rId1106"/>
    <hyperlink display="https://my.zakupki.prom.ua/remote/dispatcher/state_contracting_view/7401355" ref="D557" r:id="rId1107"/>
    <hyperlink display="https://my.zakupki.prom.ua/remote/dispatcher/state_purchase_view/22952087" ref="B558" r:id="rId1108"/>
    <hyperlink display="https://my.zakupki.prom.ua/remote/dispatcher/state_contracting_view/7220379" ref="D558" r:id="rId1109"/>
    <hyperlink display="https://my.zakupki.prom.ua/remote/dispatcher/state_purchase_view/22935236" ref="B559" r:id="rId1110"/>
    <hyperlink display="https://my.zakupki.prom.ua/remote/dispatcher/state_contracting_view/7214937" ref="D559" r:id="rId1111"/>
    <hyperlink display="https://my.zakupki.prom.ua/remote/dispatcher/state_purchase_view/22967266" ref="B560" r:id="rId1112"/>
    <hyperlink display="https://my.zakupki.prom.ua/remote/dispatcher/state_contracting_view/7225203" ref="D560" r:id="rId1113"/>
    <hyperlink display="https://my.zakupki.prom.ua/remote/dispatcher/state_purchase_view/22933572" ref="B561" r:id="rId1114"/>
    <hyperlink display="https://my.zakupki.prom.ua/remote/dispatcher/state_contracting_view/7214464" ref="D561" r:id="rId1115"/>
    <hyperlink display="https://my.zakupki.prom.ua/remote/dispatcher/state_purchase_view/22929586" ref="B562" r:id="rId1116"/>
    <hyperlink display="https://my.zakupki.prom.ua/remote/dispatcher/state_contracting_view/7213151" ref="D562" r:id="rId1117"/>
    <hyperlink display="https://my.zakupki.prom.ua/remote/dispatcher/state_purchase_view/25371374" ref="B563" r:id="rId1118"/>
    <hyperlink display="https://my.zakupki.prom.ua/remote/dispatcher/state_contracting_view/8317994" ref="D563" r:id="rId1119"/>
    <hyperlink display="https://my.zakupki.prom.ua/remote/dispatcher/state_purchase_view/25070938" ref="B564" r:id="rId1120"/>
    <hyperlink display="https://my.zakupki.prom.ua/remote/dispatcher/state_contracting_view/8180030" ref="D564" r:id="rId1121"/>
    <hyperlink display="https://my.zakupki.prom.ua/remote/dispatcher/state_purchase_view/25257269" ref="B565" r:id="rId1122"/>
    <hyperlink display="https://my.zakupki.prom.ua/remote/dispatcher/state_contracting_view/8303976" ref="D565" r:id="rId1123"/>
    <hyperlink display="https://my.zakupki.prom.ua/remote/dispatcher/state_purchase_view/25255586" ref="B566" r:id="rId1124"/>
    <hyperlink display="https://my.zakupki.prom.ua/remote/dispatcher/state_contracting_view/8277922" ref="D566" r:id="rId1125"/>
    <hyperlink display="https://my.zakupki.prom.ua/remote/dispatcher/state_purchase_view/25078851" ref="B567" r:id="rId1126"/>
    <hyperlink display="https://my.zakupki.prom.ua/remote/dispatcher/state_contracting_view/8181088" ref="D567" r:id="rId1127"/>
    <hyperlink display="https://my.zakupki.prom.ua/remote/dispatcher/state_purchase_view/25104500" ref="B568" r:id="rId1128"/>
    <hyperlink display="https://my.zakupki.prom.ua/remote/dispatcher/state_contracting_view/8187286" ref="D568" r:id="rId1129"/>
    <hyperlink display="https://my.zakupki.prom.ua/remote/dispatcher/state_purchase_view/24582733" ref="B569" r:id="rId1130"/>
    <hyperlink display="https://my.zakupki.prom.ua/remote/dispatcher/state_contracting_view/8039072" ref="D569" r:id="rId1131"/>
    <hyperlink display="https://my.zakupki.prom.ua/remote/dispatcher/state_purchase_view/24458555" ref="B570" r:id="rId1132"/>
    <hyperlink display="https://my.zakupki.prom.ua/remote/dispatcher/state_contracting_view/7878306" ref="D570" r:id="rId1133"/>
    <hyperlink display="https://my.zakupki.prom.ua/remote/dispatcher/state_purchase_view/30679635" ref="B571" r:id="rId1134"/>
    <hyperlink display="https://my.zakupki.prom.ua/remote/dispatcher/state_contracting_view/10812324" ref="D571" r:id="rId1135"/>
    <hyperlink display="https://my.zakupki.prom.ua/remote/dispatcher/state_purchase_view/30528666" ref="B572" r:id="rId1136"/>
    <hyperlink display="https://my.zakupki.prom.ua/remote/dispatcher/state_contracting_view/10753157" ref="D572" r:id="rId1137"/>
    <hyperlink display="https://my.zakupki.prom.ua/remote/dispatcher/state_purchase_view/33826471" ref="B573" r:id="rId1138"/>
    <hyperlink display="https://my.zakupki.prom.ua/remote/dispatcher/state_contracting_view/12290059" ref="D573" r:id="rId1139"/>
    <hyperlink display="https://my.zakupki.prom.ua/remote/dispatcher/state_purchase_view/29482454" ref="B574" r:id="rId1140"/>
    <hyperlink display="https://my.zakupki.prom.ua/remote/dispatcher/state_contracting_view/10263181" ref="D574" r:id="rId1141"/>
    <hyperlink display="https://my.zakupki.prom.ua/remote/dispatcher/state_purchase_view/29435560" ref="B575" r:id="rId1142"/>
    <hyperlink display="https://my.zakupki.prom.ua/remote/dispatcher/state_contracting_view/10239477" ref="D575" r:id="rId1143"/>
    <hyperlink display="https://my.zakupki.prom.ua/remote/dispatcher/state_purchase_view/29281824" ref="B576" r:id="rId1144"/>
    <hyperlink display="https://my.zakupki.prom.ua/remote/dispatcher/state_contracting_view/10167730" ref="D576" r:id="rId1145"/>
    <hyperlink display="https://my.zakupki.prom.ua/remote/dispatcher/state_purchase_view/32489214" ref="B577" r:id="rId1146"/>
    <hyperlink display="https://my.zakupki.prom.ua/remote/dispatcher/state_contracting_view/11645664" ref="D577" r:id="rId1147"/>
    <hyperlink display="https://my.zakupki.prom.ua/remote/dispatcher/state_purchase_view/32211223" ref="B578" r:id="rId1148"/>
    <hyperlink display="https://my.zakupki.prom.ua/remote/dispatcher/state_contracting_view/11518012" ref="D578" r:id="rId1149"/>
    <hyperlink display="https://my.zakupki.prom.ua/remote/dispatcher/state_purchase_view/22908523" ref="B579" r:id="rId1150"/>
    <hyperlink display="https://my.zakupki.prom.ua/remote/dispatcher/state_contracting_view/7206710" ref="D579" r:id="rId1151"/>
    <hyperlink display="https://my.zakupki.prom.ua/remote/dispatcher/state_purchase_view/27773628" ref="B580" r:id="rId1152"/>
    <hyperlink display="https://my.zakupki.prom.ua/remote/dispatcher/state_contracting_view/9465460" ref="D580" r:id="rId1153"/>
    <hyperlink display="https://my.zakupki.prom.ua/remote/dispatcher/state_purchase_view/27061710" ref="B581" r:id="rId1154"/>
    <hyperlink display="https://my.zakupki.prom.ua/remote/dispatcher/state_contracting_view/9125909" ref="D581" r:id="rId1155"/>
    <hyperlink display="https://my.zakupki.prom.ua/remote/dispatcher/state_purchase_view/28200626" ref="B582" r:id="rId1156"/>
    <hyperlink display="https://my.zakupki.prom.ua/remote/dispatcher/state_contracting_view/9661354" ref="D582" r:id="rId1157"/>
    <hyperlink display="https://my.zakupki.prom.ua/remote/dispatcher/state_purchase_view/27771649" ref="B583" r:id="rId1158"/>
    <hyperlink display="https://my.zakupki.prom.ua/remote/dispatcher/state_contracting_view/9465959" ref="D583" r:id="rId1159"/>
    <hyperlink display="https://my.zakupki.prom.ua/remote/dispatcher/state_purchase_view/33166953" ref="B584" r:id="rId1160"/>
    <hyperlink display="https://my.zakupki.prom.ua/remote/dispatcher/state_contracting_view/12180515" ref="D584" r:id="rId1161"/>
    <hyperlink display="https://my.zakupki.prom.ua/remote/dispatcher/state_purchase_view/30100793" ref="B585" r:id="rId1162"/>
    <hyperlink display="https://my.zakupki.prom.ua/remote/dispatcher/state_contracting_view/10547103" ref="D585" r:id="rId1163"/>
    <hyperlink display="https://my.zakupki.prom.ua/remote/dispatcher/state_purchase_view/30110019" ref="B586" r:id="rId1164"/>
    <hyperlink display="https://my.zakupki.prom.ua/remote/dispatcher/state_contracting_view/10551184" ref="D586" r:id="rId1165"/>
    <hyperlink display="https://my.zakupki.prom.ua/remote/dispatcher/state_purchase_view/27823049" ref="B587" r:id="rId1166"/>
    <hyperlink display="https://my.zakupki.prom.ua/remote/dispatcher/state_contracting_view/9484551" ref="D587" r:id="rId1167"/>
    <hyperlink display="https://my.zakupki.prom.ua/remote/dispatcher/state_purchase_view/26547348" ref="B588" r:id="rId1168"/>
    <hyperlink display="https://my.zakupki.prom.ua/remote/dispatcher/state_contracting_view/9154346" ref="D588" r:id="rId1169"/>
    <hyperlink display="https://my.zakupki.prom.ua/remote/dispatcher/state_purchase_view/27298147" ref="B589" r:id="rId1170"/>
    <hyperlink display="https://my.zakupki.prom.ua/remote/dispatcher/state_contracting_view/9232527" ref="D589" r:id="rId1171"/>
    <hyperlink display="https://my.zakupki.prom.ua/remote/dispatcher/state_purchase_view/31291984" ref="B590" r:id="rId1172"/>
    <hyperlink display="https://my.zakupki.prom.ua/remote/dispatcher/state_contracting_view/11093773" ref="D590" r:id="rId1173"/>
    <hyperlink display="https://my.zakupki.prom.ua/remote/dispatcher/state_purchase_view/33825454" ref="B591" r:id="rId1174"/>
    <hyperlink display="https://my.zakupki.prom.ua/remote/dispatcher/state_contracting_view/12288835" ref="D591" r:id="rId1175"/>
    <hyperlink display="https://my.zakupki.prom.ua/remote/dispatcher/state_purchase_view/23755378" ref="B592" r:id="rId1176"/>
    <hyperlink display="https://my.zakupki.prom.ua/remote/dispatcher/state_contracting_view/7551215" ref="D592" r:id="rId1177"/>
    <hyperlink display="https://my.zakupki.prom.ua/remote/dispatcher/state_purchase_view/22938518" ref="B593" r:id="rId1178"/>
    <hyperlink display="https://my.zakupki.prom.ua/remote/dispatcher/state_contracting_view/7216259" ref="D593" r:id="rId1179"/>
    <hyperlink display="https://my.zakupki.prom.ua/remote/dispatcher/state_purchase_view/22936059" ref="B594" r:id="rId1180"/>
    <hyperlink display="https://my.zakupki.prom.ua/remote/dispatcher/state_contracting_view/7215276" ref="D594" r:id="rId1181"/>
    <hyperlink display="https://my.zakupki.prom.ua/remote/dispatcher/state_purchase_view/22935910" ref="B595" r:id="rId1182"/>
    <hyperlink display="https://my.zakupki.prom.ua/remote/dispatcher/state_contracting_view/7215159" ref="D595" r:id="rId1183"/>
    <hyperlink display="https://my.zakupki.prom.ua/remote/dispatcher/state_purchase_view/22908398" ref="B596" r:id="rId1184"/>
    <hyperlink display="https://my.zakupki.prom.ua/remote/dispatcher/state_contracting_view/7206616" ref="D596" r:id="rId1185"/>
    <hyperlink display="https://my.zakupki.prom.ua/remote/dispatcher/state_purchase_view/22864398" ref="B597" r:id="rId1186"/>
    <hyperlink display="https://my.zakupki.prom.ua/remote/dispatcher/state_contracting_view/7192002" ref="D597" r:id="rId1187"/>
    <hyperlink display="https://my.zakupki.prom.ua/remote/dispatcher/state_purchase_view/23341553" ref="B598" r:id="rId1188"/>
    <hyperlink display="https://my.zakupki.prom.ua/remote/dispatcher/state_contracting_view/7596162" ref="D598" r:id="rId1189"/>
    <hyperlink display="https://my.zakupki.prom.ua/remote/dispatcher/state_purchase_view/23323037" ref="B599" r:id="rId1190"/>
    <hyperlink display="https://my.zakupki.prom.ua/remote/dispatcher/state_contracting_view/7368899" ref="D599" r:id="rId1191"/>
    <hyperlink display="https://my.zakupki.prom.ua/remote/dispatcher/state_purchase_view/25341050" ref="B600" r:id="rId1192"/>
    <hyperlink display="https://my.zakupki.prom.ua/remote/dispatcher/state_contracting_view/8304091" ref="D600" r:id="rId1193"/>
    <hyperlink display="https://my.zakupki.prom.ua/remote/dispatcher/state_purchase_view/33303851" ref="B601" r:id="rId1194"/>
    <hyperlink display="https://my.zakupki.prom.ua/remote/dispatcher/state_contracting_view/12031042" ref="D601" r:id="rId1195"/>
    <hyperlink display="https://my.zakupki.prom.ua/remote/dispatcher/state_purchase_view/31919330" ref="B602" r:id="rId1196"/>
    <hyperlink display="https://my.zakupki.prom.ua/remote/dispatcher/state_contracting_view/11382760" ref="D602" r:id="rId1197"/>
    <hyperlink display="https://my.zakupki.prom.ua/remote/dispatcher/state_purchase_view/25435899" ref="B603" r:id="rId1198"/>
    <hyperlink display="https://my.zakupki.prom.ua/remote/dispatcher/state_contracting_view/8345124" ref="D603" r:id="rId1199"/>
    <hyperlink display="https://my.zakupki.prom.ua/remote/dispatcher/state_purchase_view/24383768" ref="B604" r:id="rId1200"/>
    <hyperlink display="https://my.zakupki.prom.ua/remote/dispatcher/state_contracting_view/7843193" ref="D604" r:id="rId1201"/>
    <hyperlink display="https://my.zakupki.prom.ua/remote/dispatcher/state_purchase_view/25905059" ref="B605" r:id="rId1202"/>
    <hyperlink display="https://my.zakupki.prom.ua/remote/dispatcher/state_contracting_view/8568215" ref="D605" r:id="rId1203"/>
    <hyperlink display="https://my.zakupki.prom.ua/remote/dispatcher/state_purchase_view/25535276" ref="B606" r:id="rId1204"/>
    <hyperlink display="https://my.zakupki.prom.ua/remote/dispatcher/state_contracting_view/8391733" ref="D606" r:id="rId1205"/>
    <hyperlink display="https://my.zakupki.prom.ua/remote/dispatcher/state_purchase_view/24917217" ref="B607" r:id="rId1206"/>
    <hyperlink display="https://my.zakupki.prom.ua/remote/dispatcher/state_contracting_view/8113457" ref="D607" r:id="rId1207"/>
    <hyperlink display="https://my.zakupki.prom.ua/remote/dispatcher/state_purchase_view/24852850" ref="B608" r:id="rId1208"/>
    <hyperlink display="https://my.zakupki.prom.ua/remote/dispatcher/state_contracting_view/8066064" ref="D608" r:id="rId1209"/>
    <hyperlink display="https://my.zakupki.prom.ua/remote/dispatcher/state_purchase_view/24377712" ref="B609" r:id="rId1210"/>
    <hyperlink display="https://my.zakupki.prom.ua/remote/dispatcher/state_contracting_view/7839864" ref="D609" r:id="rId1211"/>
    <hyperlink display="https://my.zakupki.prom.ua/remote/dispatcher/state_purchase_view/33547257" ref="B610" r:id="rId1212"/>
    <hyperlink display="https://my.zakupki.prom.ua/remote/dispatcher/state_contracting_view/12150468" ref="D610" r:id="rId1213"/>
    <hyperlink display="https://my.zakupki.prom.ua/remote/dispatcher/state_purchase_view/31625920" ref="B611" r:id="rId1214"/>
    <hyperlink display="https://my.zakupki.prom.ua/remote/dispatcher/state_contracting_view/11249975" ref="D611" r:id="rId1215"/>
    <hyperlink display="https://my.zakupki.prom.ua/remote/dispatcher/state_purchase_view/23806589" ref="B612" r:id="rId1216"/>
    <hyperlink display="https://my.zakupki.prom.ua/remote/dispatcher/state_contracting_view/7574476" ref="D612" r:id="rId1217"/>
    <hyperlink display="https://my.zakupki.prom.ua/remote/dispatcher/state_purchase_view/25131177" ref="B613" r:id="rId1218"/>
    <hyperlink display="https://my.zakupki.prom.ua/remote/dispatcher/state_contracting_view/8203509" ref="D613" r:id="rId1219"/>
    <hyperlink display="https://my.zakupki.prom.ua/remote/dispatcher/state_purchase_view/25009314" ref="B614" r:id="rId1220"/>
    <hyperlink display="https://my.zakupki.prom.ua/remote/dispatcher/state_contracting_view/8141738" ref="D614" r:id="rId1221"/>
    <hyperlink display="https://my.zakupki.prom.ua/remote/dispatcher/state_purchase_view/24856071" ref="B615" r:id="rId1222"/>
    <hyperlink display="https://my.zakupki.prom.ua/remote/dispatcher/state_contracting_view/8067350" ref="D615" r:id="rId1223"/>
    <hyperlink display="https://my.zakupki.prom.ua/remote/dispatcher/state_purchase_view/26236479" ref="B616" r:id="rId1224"/>
    <hyperlink display="https://my.zakupki.prom.ua/remote/dispatcher/state_contracting_view/8733925" ref="D616" r:id="rId1225"/>
    <hyperlink display="https://my.zakupki.prom.ua/remote/dispatcher/state_purchase_view/26235411" ref="B617" r:id="rId1226"/>
    <hyperlink display="https://my.zakupki.prom.ua/remote/dispatcher/state_contracting_view/8734299" ref="D617" r:id="rId1227"/>
    <hyperlink display="https://my.zakupki.prom.ua/remote/dispatcher/state_purchase_view/26047996" ref="B618" r:id="rId1228"/>
    <hyperlink display="https://my.zakupki.prom.ua/remote/dispatcher/state_contracting_view/8636232" ref="D618" r:id="rId1229"/>
    <hyperlink display="https://my.zakupki.prom.ua/remote/dispatcher/state_purchase_view/24866793" ref="B619" r:id="rId1230"/>
    <hyperlink display="https://my.zakupki.prom.ua/remote/dispatcher/state_contracting_view/8072677" ref="D619" r:id="rId1231"/>
    <hyperlink display="https://my.zakupki.prom.ua/remote/dispatcher/state_purchase_view/25081723" ref="B620" r:id="rId1232"/>
    <hyperlink display="https://my.zakupki.prom.ua/remote/dispatcher/state_contracting_view/8181220" ref="D620" r:id="rId1233"/>
    <hyperlink display="https://my.zakupki.prom.ua/remote/dispatcher/state_purchase_view/25072026" ref="B621" r:id="rId1234"/>
    <hyperlink display="https://my.zakupki.prom.ua/remote/dispatcher/state_contracting_view/8180526" ref="D621" r:id="rId1235"/>
    <hyperlink display="https://my.zakupki.prom.ua/remote/dispatcher/state_purchase_view/25010418" ref="B622" r:id="rId1236"/>
    <hyperlink display="https://my.zakupki.prom.ua/remote/dispatcher/state_contracting_view/8143019" ref="D622" r:id="rId1237"/>
    <hyperlink display="https://my.zakupki.prom.ua/remote/dispatcher/state_purchase_view/25664421" ref="B623" r:id="rId1238"/>
    <hyperlink display="https://my.zakupki.prom.ua/remote/dispatcher/state_contracting_view/8453986" ref="D623" r:id="rId1239"/>
    <hyperlink display="https://my.zakupki.prom.ua/remote/dispatcher/state_purchase_view/25662646" ref="B624" r:id="rId1240"/>
    <hyperlink display="https://my.zakupki.prom.ua/remote/dispatcher/state_contracting_view/8453226" ref="D624" r:id="rId1241"/>
    <hyperlink display="https://my.zakupki.prom.ua/remote/dispatcher/state_purchase_view/25729812" ref="B625" r:id="rId1242"/>
    <hyperlink display="https://my.zakupki.prom.ua/remote/dispatcher/state_contracting_view/8488465" ref="D625" r:id="rId1243"/>
    <hyperlink display="https://my.zakupki.prom.ua/remote/dispatcher/state_purchase_view/23058160" ref="B626" r:id="rId1244"/>
    <hyperlink display="https://my.zakupki.prom.ua/remote/dispatcher/state_contracting_view/7256901" ref="D626" r:id="rId1245"/>
    <hyperlink display="https://my.zakupki.prom.ua/remote/dispatcher/state_purchase_view/32040510" ref="B627" r:id="rId1246"/>
    <hyperlink display="https://my.zakupki.prom.ua/remote/dispatcher/state_contracting_view/11440329" ref="D627" r:id="rId1247"/>
    <hyperlink display="https://my.zakupki.prom.ua/remote/dispatcher/state_purchase_view/23467617" ref="B628" r:id="rId1248"/>
    <hyperlink display="https://my.zakupki.prom.ua/remote/dispatcher/state_contracting_view/7424696" ref="D628" r:id="rId1249"/>
    <hyperlink display="https://my.zakupki.prom.ua/remote/dispatcher/state_purchase_view/24041725" ref="B629" r:id="rId1250"/>
    <hyperlink display="https://my.zakupki.prom.ua/remote/dispatcher/state_contracting_view/7685171" ref="D629" r:id="rId1251"/>
    <hyperlink display="https://my.zakupki.prom.ua/remote/dispatcher/state_purchase_view/25628938" ref="B630" r:id="rId1252"/>
    <hyperlink display="https://my.zakupki.prom.ua/remote/dispatcher/state_contracting_view/8442446" ref="D630" r:id="rId1253"/>
    <hyperlink display="https://my.zakupki.prom.ua/remote/dispatcher/state_purchase_view/29429326" ref="B631" r:id="rId1254"/>
    <hyperlink display="https://my.zakupki.prom.ua/remote/dispatcher/state_contracting_view/10236499" ref="D631" r:id="rId1255"/>
    <hyperlink display="https://my.zakupki.prom.ua/remote/dispatcher/state_purchase_view/30288184" ref="B632" r:id="rId1256"/>
    <hyperlink display="https://my.zakupki.prom.ua/remote/dispatcher/state_contracting_view/10633327" ref="D632" r:id="rId1257"/>
    <hyperlink display="https://my.zakupki.prom.ua/remote/dispatcher/state_purchase_view/30287042" ref="B633" r:id="rId1258"/>
    <hyperlink display="https://my.zakupki.prom.ua/remote/dispatcher/state_contracting_view/10633030" ref="D633" r:id="rId1259"/>
    <hyperlink display="https://my.zakupki.prom.ua/remote/dispatcher/state_purchase_view/25174100" ref="B634" r:id="rId1260"/>
    <hyperlink display="https://my.zakupki.prom.ua/remote/dispatcher/state_contracting_view/8225672" ref="D634" r:id="rId1261"/>
    <hyperlink display="https://my.zakupki.prom.ua/remote/dispatcher/state_purchase_view/23534620" ref="B635" r:id="rId1262"/>
    <hyperlink display="https://my.zakupki.prom.ua/remote/dispatcher/state_contracting_view/7454596" ref="D635" r:id="rId1263"/>
    <hyperlink display="https://my.zakupki.prom.ua/remote/dispatcher/state_purchase_view/32667342" ref="B636" r:id="rId1264"/>
    <hyperlink display="https://my.zakupki.prom.ua/remote/dispatcher/state_contracting_view/11727665" ref="D636" r:id="rId1265"/>
    <hyperlink display="https://my.zakupki.prom.ua/remote/dispatcher/state_purchase_view/22935054" ref="B637" r:id="rId1266"/>
    <hyperlink display="https://my.zakupki.prom.ua/remote/dispatcher/state_contracting_view/7214859" ref="D637" r:id="rId1267"/>
    <hyperlink display="https://my.zakupki.prom.ua/remote/dispatcher/state_purchase_view/22931100" ref="B638" r:id="rId1268"/>
    <hyperlink display="https://my.zakupki.prom.ua/remote/dispatcher/state_contracting_view/7213665" ref="D638" r:id="rId1269"/>
    <hyperlink display="https://my.zakupki.prom.ua/remote/dispatcher/state_purchase_view/22928073" ref="B639" r:id="rId1270"/>
    <hyperlink display="https://my.zakupki.prom.ua/remote/dispatcher/state_contracting_view/7212551" ref="D639" r:id="rId1271"/>
    <hyperlink display="https://my.zakupki.prom.ua/remote/dispatcher/state_purchase_view/23848426" ref="B640" r:id="rId1272"/>
    <hyperlink display="https://my.zakupki.prom.ua/remote/dispatcher/state_contracting_view/7604744" ref="D640" r:id="rId1273"/>
    <hyperlink display="https://my.zakupki.prom.ua/remote/dispatcher/state_purchase_view/23769850" ref="B641" r:id="rId1274"/>
    <hyperlink display="https://my.zakupki.prom.ua/remote/dispatcher/state_contracting_view/7557510" ref="D641" r:id="rId1275"/>
    <hyperlink display="https://my.zakupki.prom.ua/remote/dispatcher/state_purchase_view/24285996" ref="B642" r:id="rId1276"/>
    <hyperlink display="https://my.zakupki.prom.ua/remote/dispatcher/state_contracting_view/7796697" ref="D642" r:id="rId1277"/>
    <hyperlink display="https://my.zakupki.prom.ua/remote/dispatcher/state_purchase_view/24102865" ref="B643" r:id="rId1278"/>
    <hyperlink display="https://my.zakupki.prom.ua/remote/dispatcher/state_contracting_view/7718672" ref="D643" r:id="rId1279"/>
    <hyperlink display="https://my.zakupki.prom.ua/remote/dispatcher/state_purchase_view/29314396" ref="B644" r:id="rId1280"/>
    <hyperlink display="https://my.zakupki.prom.ua/remote/dispatcher/state_contracting_view/10183641" ref="D644" r:id="rId1281"/>
    <hyperlink display="https://my.zakupki.prom.ua/remote/dispatcher/state_purchase_view/30751114" ref="B645" r:id="rId1282"/>
    <hyperlink display="https://my.zakupki.prom.ua/remote/dispatcher/state_contracting_view/10858489" ref="D645" r:id="rId1283"/>
    <hyperlink display="https://my.zakupki.prom.ua/remote/dispatcher/state_purchase_view/32215716" ref="B646" r:id="rId1284"/>
    <hyperlink display="https://my.zakupki.prom.ua/remote/dispatcher/state_contracting_view/11519862" ref="D646" r:id="rId1285"/>
    <hyperlink display="https://my.zakupki.prom.ua/remote/dispatcher/state_purchase_view/28256686" ref="B647" r:id="rId1286"/>
    <hyperlink display="https://my.zakupki.prom.ua/remote/dispatcher/state_contracting_view/9687823" ref="D647" r:id="rId1287"/>
    <hyperlink display="https://my.zakupki.prom.ua/remote/dispatcher/state_purchase_view/25518971" ref="B648" r:id="rId1288"/>
    <hyperlink display="https://my.zakupki.prom.ua/remote/dispatcher/state_contracting_view/8384929" ref="D648" r:id="rId1289"/>
    <hyperlink display="https://my.zakupki.prom.ua/remote/dispatcher/state_purchase_view/24751765" ref="B649" r:id="rId1290"/>
    <hyperlink display="https://my.zakupki.prom.ua/remote/dispatcher/state_contracting_view/8021710" ref="D649" r:id="rId1291"/>
    <hyperlink display="https://my.zakupki.prom.ua/remote/dispatcher/state_purchase_view/25588989" ref="B650" r:id="rId1292"/>
    <hyperlink display="https://my.zakupki.prom.ua/remote/dispatcher/state_contracting_view/8419225" ref="D650" r:id="rId1293"/>
    <hyperlink display="https://my.zakupki.prom.ua/remote/dispatcher/state_purchase_view/25664041" ref="B651" r:id="rId1294"/>
    <hyperlink display="https://my.zakupki.prom.ua/remote/dispatcher/state_contracting_view/8454061" ref="D651" r:id="rId1295"/>
    <hyperlink display="https://my.zakupki.prom.ua/remote/dispatcher/state_purchase_view/29322000" ref="B652" r:id="rId1296"/>
    <hyperlink display="https://my.zakupki.prom.ua/remote/dispatcher/state_contracting_view/10186860" ref="D652" r:id="rId1297"/>
    <hyperlink display="https://my.zakupki.prom.ua/remote/dispatcher/state_purchase_view/27774983" ref="B653" r:id="rId1298"/>
    <hyperlink display="https://my.zakupki.prom.ua/remote/dispatcher/state_contracting_view/9465353" ref="D653" r:id="rId1299"/>
    <hyperlink display="https://my.zakupki.prom.ua/remote/dispatcher/state_purchase_view/27772900" ref="B654" r:id="rId1300"/>
    <hyperlink display="https://my.zakupki.prom.ua/remote/dispatcher/state_contracting_view/9465596" ref="D654" r:id="rId1301"/>
    <hyperlink display="https://my.zakupki.prom.ua/remote/dispatcher/state_purchase_view/27353306" ref="B655" r:id="rId1302"/>
    <hyperlink display="https://my.zakupki.prom.ua/remote/dispatcher/state_contracting_view/9258922" ref="D655" r:id="rId1303"/>
    <hyperlink display="https://my.zakupki.prom.ua/remote/dispatcher/state_purchase_view/29905264" ref="B656" r:id="rId1304"/>
    <hyperlink display="https://my.zakupki.prom.ua/remote/dispatcher/state_contracting_view/10456324" ref="D656" r:id="rId1305"/>
    <hyperlink display="https://my.zakupki.prom.ua/remote/dispatcher/state_purchase_view/29481899" ref="B657" r:id="rId1306"/>
    <hyperlink display="https://my.zakupki.prom.ua/remote/dispatcher/state_contracting_view/10263223" ref="D657" r:id="rId1307"/>
    <hyperlink display="https://my.zakupki.prom.ua/remote/dispatcher/state_purchase_view/29777553" ref="B658" r:id="rId1308"/>
    <hyperlink display="https://my.zakupki.prom.ua/remote/dispatcher/state_contracting_view/10398070" ref="D658" r:id="rId1309"/>
    <hyperlink display="https://my.zakupki.prom.ua/remote/dispatcher/state_purchase_view/30150960" ref="B659" r:id="rId1310"/>
    <hyperlink display="https://my.zakupki.prom.ua/remote/dispatcher/state_contracting_view/10569623" ref="D659" r:id="rId1311"/>
    <hyperlink display="https://my.zakupki.prom.ua/remote/dispatcher/state_purchase_view/29435357" ref="B660" r:id="rId1312"/>
    <hyperlink display="https://my.zakupki.prom.ua/remote/dispatcher/state_contracting_view/10239333" ref="D660" r:id="rId1313"/>
    <hyperlink display="https://my.zakupki.prom.ua/remote/dispatcher/state_purchase_view/25731676" ref="B661" r:id="rId1314"/>
    <hyperlink display="https://my.zakupki.prom.ua/remote/dispatcher/state_contracting_view/8488798" ref="D661" r:id="rId1315"/>
    <hyperlink display="https://my.zakupki.prom.ua/remote/dispatcher/state_purchase_view/24260225" ref="B662" r:id="rId1316"/>
    <hyperlink display="https://my.zakupki.prom.ua/remote/dispatcher/state_contracting_view/7787772" ref="D662" r:id="rId1317"/>
    <hyperlink display="https://my.zakupki.prom.ua/remote/dispatcher/state_purchase_view/26257815" ref="B663" r:id="rId1318"/>
    <hyperlink display="https://my.zakupki.prom.ua/remote/dispatcher/state_contracting_view/8739127" ref="D663" r:id="rId1319"/>
    <hyperlink display="https://my.zakupki.prom.ua/remote/dispatcher/state_purchase_view/26260227" ref="B664" r:id="rId1320"/>
    <hyperlink display="https://my.zakupki.prom.ua/remote/dispatcher/state_contracting_view/8739313" ref="D664" r:id="rId1321"/>
    <hyperlink display="https://my.zakupki.prom.ua/remote/dispatcher/state_purchase_view/25517405" ref="B665" r:id="rId1322"/>
    <hyperlink display="https://my.zakupki.prom.ua/remote/dispatcher/state_contracting_view/8383349" ref="D665" r:id="rId1323"/>
    <hyperlink display="https://my.zakupki.prom.ua/remote/dispatcher/state_purchase_view/25628474" ref="B666" r:id="rId1324"/>
    <hyperlink display="https://my.zakupki.prom.ua/remote/dispatcher/state_contracting_view/8442561" ref="D666" r:id="rId1325"/>
    <hyperlink display="https://my.zakupki.prom.ua/remote/dispatcher/state_purchase_view/30761769" ref="B667" r:id="rId1326"/>
    <hyperlink display="https://my.zakupki.prom.ua/remote/dispatcher/state_contracting_view/10850781" ref="D667" r:id="rId1327"/>
    <hyperlink display="https://my.zakupki.prom.ua/remote/dispatcher/state_purchase_view/25553459" ref="B668" r:id="rId1328"/>
    <hyperlink display="https://my.zakupki.prom.ua/remote/dispatcher/state_contracting_view/8401060" ref="D668" r:id="rId1329"/>
    <hyperlink display="https://my.zakupki.prom.ua/remote/dispatcher/state_purchase_view/24349660" ref="B669" r:id="rId1330"/>
    <hyperlink display="https://my.zakupki.prom.ua/remote/dispatcher/state_contracting_view/7826360" ref="D669" r:id="rId1331"/>
    <hyperlink display="https://my.zakupki.prom.ua/remote/dispatcher/state_purchase_view/24257606" ref="B670" r:id="rId1332"/>
    <hyperlink display="https://my.zakupki.prom.ua/remote/dispatcher/state_contracting_view/7786874" ref="D670" r:id="rId1333"/>
    <hyperlink display="https://my.zakupki.prom.ua/remote/dispatcher/state_purchase_view/24811700" ref="B671" r:id="rId1334"/>
    <hyperlink display="https://my.zakupki.prom.ua/remote/dispatcher/state_contracting_view/8046476" ref="D671" r:id="rId1335"/>
    <hyperlink display="https://my.zakupki.prom.ua/remote/dispatcher/state_purchase_view/24753745" ref="B672" r:id="rId1336"/>
    <hyperlink display="https://my.zakupki.prom.ua/remote/dispatcher/state_contracting_view/8021968" ref="D672" r:id="rId1337"/>
    <hyperlink display="https://my.zakupki.prom.ua/remote/dispatcher/state_purchase_view/24941759" ref="B673" r:id="rId1338"/>
    <hyperlink display="https://my.zakupki.prom.ua/remote/dispatcher/state_contracting_view/8108971" ref="D673" r:id="rId1339"/>
    <hyperlink display="https://my.zakupki.prom.ua/remote/dispatcher/state_purchase_view/26524010" ref="B674" r:id="rId1340"/>
    <hyperlink display="https://my.zakupki.prom.ua/remote/dispatcher/state_contracting_view/8866059" ref="D674" r:id="rId1341"/>
    <hyperlink display="https://my.zakupki.prom.ua/remote/dispatcher/state_purchase_view/25550385" ref="B675" r:id="rId1342"/>
    <hyperlink display="https://my.zakupki.prom.ua/remote/dispatcher/state_contracting_view/8399474" ref="D675" r:id="rId1343"/>
    <hyperlink display="https://my.zakupki.prom.ua/remote/dispatcher/state_purchase_view/25015170" ref="B676" r:id="rId1344"/>
    <hyperlink display="https://my.zakupki.prom.ua/remote/dispatcher/state_contracting_view/8144590" ref="D676" r:id="rId1345"/>
    <hyperlink display="https://my.zakupki.prom.ua/remote/dispatcher/state_purchase_view/25060696" ref="B677" r:id="rId1346"/>
    <hyperlink display="https://my.zakupki.prom.ua/remote/dispatcher/state_contracting_view/8166039" ref="D677" r:id="rId1347"/>
    <hyperlink display="https://my.zakupki.prom.ua/remote/dispatcher/state_purchase_view/24899522" ref="B678" r:id="rId1348"/>
    <hyperlink display="https://my.zakupki.prom.ua/remote/dispatcher/state_contracting_view/8089569" ref="D678" r:id="rId1349"/>
    <hyperlink display="https://my.zakupki.prom.ua/remote/dispatcher/state_purchase_view/24867334" ref="B679" r:id="rId1350"/>
    <hyperlink display="https://my.zakupki.prom.ua/remote/dispatcher/state_contracting_view/8084445" ref="D679" r:id="rId1351"/>
    <hyperlink display="https://my.zakupki.prom.ua/remote/dispatcher/state_purchase_view/24748247" ref="B680" r:id="rId1352"/>
    <hyperlink display="https://my.zakupki.prom.ua/remote/dispatcher/state_contracting_view/8022367" ref="D680" r:id="rId1353"/>
    <hyperlink display="https://my.zakupki.prom.ua/remote/dispatcher/state_purchase_view/26401039" ref="B681" r:id="rId1354"/>
    <hyperlink display="https://my.zakupki.prom.ua/remote/dispatcher/state_contracting_view/8810193" ref="D681" r:id="rId1355"/>
    <hyperlink display="https://my.zakupki.prom.ua/remote/dispatcher/state_purchase_view/26382129" ref="B682" r:id="rId1356"/>
    <hyperlink display="https://my.zakupki.prom.ua/remote/dispatcher/state_contracting_view/8798672" ref="D682" r:id="rId1357"/>
    <hyperlink display="https://my.zakupki.prom.ua/remote/dispatcher/state_purchase_view/24975637" ref="B683" r:id="rId1358"/>
    <hyperlink display="https://my.zakupki.prom.ua/remote/dispatcher/state_contracting_view/8126419" ref="D683" r:id="rId1359"/>
    <hyperlink display="https://my.zakupki.prom.ua/remote/dispatcher/state_purchase_view/30524876" ref="B684" r:id="rId1360"/>
    <hyperlink display="https://my.zakupki.prom.ua/remote/dispatcher/state_contracting_view/10753497" ref="D684" r:id="rId1361"/>
    <hyperlink display="https://my.zakupki.prom.ua/remote/dispatcher/state_purchase_view/30403610" ref="B685" r:id="rId1362"/>
    <hyperlink display="https://my.zakupki.prom.ua/remote/dispatcher/state_contracting_view/10686297" ref="D685" r:id="rId1363"/>
    <hyperlink display="https://my.zakupki.prom.ua/remote/dispatcher/state_purchase_view/31003676" ref="B686" r:id="rId1364"/>
    <hyperlink display="https://my.zakupki.prom.ua/remote/dispatcher/state_contracting_view/10965589" ref="D686" r:id="rId1365"/>
    <hyperlink display="https://my.zakupki.prom.ua/remote/dispatcher/state_purchase_view/29432128" ref="B687" r:id="rId1366"/>
    <hyperlink display="https://my.zakupki.prom.ua/remote/dispatcher/state_contracting_view/10237995" ref="D687" r:id="rId1367"/>
    <hyperlink display="https://my.zakupki.prom.ua/remote/dispatcher/state_purchase_view/25242737" ref="B688" r:id="rId1368"/>
    <hyperlink display="https://my.zakupki.prom.ua/remote/dispatcher/state_contracting_view/8273901" ref="D688" r:id="rId1369"/>
    <hyperlink display="https://my.zakupki.prom.ua/remote/dispatcher/state_purchase_view/25273987" ref="B689" r:id="rId1370"/>
    <hyperlink display="https://my.zakupki.prom.ua/remote/dispatcher/state_contracting_view/8289352" ref="D689" r:id="rId1371"/>
    <hyperlink display="https://my.zakupki.prom.ua/remote/dispatcher/state_purchase_view/25259984" ref="B690" r:id="rId1372"/>
    <hyperlink display="https://my.zakupki.prom.ua/remote/dispatcher/state_contracting_view/8280445" ref="D690" r:id="rId1373"/>
    <hyperlink display="https://my.zakupki.prom.ua/remote/dispatcher/state_purchase_view/24739294" ref="B691" r:id="rId1374"/>
    <hyperlink display="https://my.zakupki.prom.ua/remote/dispatcher/state_contracting_view/8353559" ref="D691" r:id="rId1375"/>
    <hyperlink display="https://my.zakupki.prom.ua/remote/dispatcher/state_purchase_view/22893309" ref="B692" r:id="rId1376"/>
    <hyperlink display="https://my.zakupki.prom.ua/remote/dispatcher/state_contracting_view/7575350" ref="D692" r:id="rId1377"/>
    <hyperlink display="https://my.zakupki.prom.ua/remote/dispatcher/state_purchase_view/33705897" ref="B693" r:id="rId1378"/>
    <hyperlink display="https://my.zakupki.prom.ua/remote/dispatcher/state_contracting_view/12231807" ref="D693" r:id="rId1379"/>
    <hyperlink display="https://my.zakupki.prom.ua/remote/dispatcher/state_purchase_view/26507048" ref="B694" r:id="rId1380"/>
    <hyperlink display="https://my.zakupki.prom.ua/remote/dispatcher/state_contracting_view/8859207" ref="D694" r:id="rId1381"/>
    <hyperlink display="https://my.zakupki.prom.ua/remote/dispatcher/state_purchase_view/26506072" ref="B695" r:id="rId1382"/>
    <hyperlink display="https://my.zakupki.prom.ua/remote/dispatcher/state_contracting_view/8859486" ref="D695" r:id="rId1383"/>
    <hyperlink display="https://my.zakupki.prom.ua/remote/dispatcher/state_purchase_view/25561177" ref="B696" r:id="rId1384"/>
    <hyperlink display="https://my.zakupki.prom.ua/remote/dispatcher/state_contracting_view/8404470" ref="D696" r:id="rId1385"/>
    <hyperlink display="https://my.zakupki.prom.ua/remote/dispatcher/state_purchase_view/23752256" ref="B697" r:id="rId1386"/>
    <hyperlink display="https://my.zakupki.prom.ua/remote/dispatcher/state_contracting_view/7550183" ref="D697" r:id="rId1387"/>
    <hyperlink display="https://my.zakupki.prom.ua/remote/dispatcher/state_purchase_view/23265759" ref="B698" r:id="rId1388"/>
    <hyperlink display="https://my.zakupki.prom.ua/remote/dispatcher/state_contracting_view/7338063" ref="D698" r:id="rId1389"/>
    <hyperlink display="https://my.zakupki.prom.ua/remote/dispatcher/state_purchase_view/23181681" ref="B699" r:id="rId1390"/>
    <hyperlink display="https://my.zakupki.prom.ua/remote/dispatcher/state_contracting_view/7303940" ref="D699" r:id="rId1391"/>
    <hyperlink display="https://my.zakupki.prom.ua/remote/dispatcher/state_purchase_view/24434326" ref="B700" r:id="rId1392"/>
    <hyperlink display="https://my.zakupki.prom.ua/remote/dispatcher/state_contracting_view/7871101" ref="D700" r:id="rId1393"/>
    <hyperlink display="https://my.zakupki.prom.ua/remote/dispatcher/state_purchase_view/30404603" ref="B701" r:id="rId1394"/>
    <hyperlink display="https://my.zakupki.prom.ua/remote/dispatcher/state_contracting_view/10694202" ref="D701" r:id="rId1395"/>
    <hyperlink display="https://my.zakupki.prom.ua/remote/dispatcher/state_purchase_view/28325452" ref="B702" r:id="rId1396"/>
    <hyperlink display="https://my.zakupki.prom.ua/remote/dispatcher/state_contracting_view/9720087" ref="D702" r:id="rId1397"/>
    <hyperlink display="https://my.zakupki.prom.ua/remote/dispatcher/state_purchase_view/27367059" ref="B703" r:id="rId1398"/>
    <hyperlink display="https://my.zakupki.prom.ua/remote/dispatcher/state_contracting_view/9265283" ref="D703" r:id="rId1399"/>
    <hyperlink display="https://my.zakupki.prom.ua/remote/dispatcher/state_purchase_view/25534595" ref="B704" r:id="rId1400"/>
    <hyperlink display="https://my.zakupki.prom.ua/remote/dispatcher/state_contracting_view/8392080" ref="D704" r:id="rId1401"/>
    <hyperlink display="https://my.zakupki.prom.ua/remote/dispatcher/state_purchase_view/31290931" ref="B705" r:id="rId1402"/>
    <hyperlink display="https://my.zakupki.prom.ua/remote/dispatcher/state_contracting_view/11703047" ref="D705" r:id="rId1403"/>
    <hyperlink display="https://my.zakupki.prom.ua/remote/dispatcher/state_purchase_view/25159944" ref="B706" r:id="rId1404"/>
    <hyperlink display="https://my.zakupki.prom.ua/remote/dispatcher/state_contracting_view/8220481" ref="D706" r:id="rId1405"/>
    <hyperlink display="https://my.zakupki.prom.ua/remote/dispatcher/state_purchase_view/25061815" ref="B707" r:id="rId1406"/>
    <hyperlink display="https://my.zakupki.prom.ua/remote/dispatcher/state_contracting_view/8166331" ref="D707" r:id="rId1407"/>
    <hyperlink display="https://my.zakupki.prom.ua/remote/dispatcher/state_purchase_view/24351605" ref="B708" r:id="rId1408"/>
    <hyperlink display="https://my.zakupki.prom.ua/remote/dispatcher/state_contracting_view/7827456" ref="D708" r:id="rId1409"/>
    <hyperlink display="https://my.zakupki.prom.ua/remote/dispatcher/state_purchase_view/25208369" ref="B709" r:id="rId1410"/>
    <hyperlink display="https://my.zakupki.prom.ua/remote/dispatcher/state_contracting_view/8248701" ref="D709" r:id="rId1411"/>
    <hyperlink display="https://my.zakupki.prom.ua/remote/dispatcher/state_purchase_view/23042326" ref="B710" r:id="rId1412"/>
    <hyperlink display="https://my.zakupki.prom.ua/remote/dispatcher/state_contracting_view/7251467" ref="D710" r:id="rId1413"/>
    <hyperlink display="https://my.zakupki.prom.ua/remote/dispatcher/state_purchase_view/24916319" ref="B711" r:id="rId1414"/>
    <hyperlink display="https://my.zakupki.prom.ua/remote/dispatcher/state_contracting_view/8096894" ref="D711" r:id="rId1415"/>
    <hyperlink display="https://my.zakupki.prom.ua/remote/dispatcher/state_purchase_view/24868362" ref="B712" r:id="rId1416"/>
    <hyperlink display="https://my.zakupki.prom.ua/remote/dispatcher/state_contracting_view/8085146" ref="D712" r:id="rId1417"/>
    <hyperlink display="https://my.zakupki.prom.ua/remote/dispatcher/state_purchase_view/31511474" ref="B713" r:id="rId1418"/>
    <hyperlink display="https://my.zakupki.prom.ua/remote/dispatcher/state_contracting_view/11195515" ref="D713" r:id="rId1419"/>
    <hyperlink display="https://my.zakupki.prom.ua/remote/dispatcher/state_purchase_view/30436247" ref="B714" r:id="rId1420"/>
    <hyperlink display="https://my.zakupki.prom.ua/remote/dispatcher/state_contracting_view/10701428" ref="D714" r:id="rId1421"/>
    <hyperlink display="https://my.zakupki.prom.ua/remote/dispatcher/state_purchase_view/32292038" ref="B715" r:id="rId1422"/>
    <hyperlink display="https://my.zakupki.prom.ua/remote/dispatcher/state_contracting_view/12266214" ref="D715" r:id="rId1423"/>
    <hyperlink display="https://my.zakupki.prom.ua/remote/dispatcher/state_purchase_view/31204525" ref="B716" r:id="rId1424"/>
    <hyperlink display="https://my.zakupki.prom.ua/remote/dispatcher/state_contracting_view/11055302" ref="D716" r:id="rId1425"/>
    <hyperlink display="https://my.zakupki.prom.ua/remote/dispatcher/state_purchase_view/33089248" ref="B717" r:id="rId1426"/>
    <hyperlink display="https://my.zakupki.prom.ua/remote/dispatcher/state_contracting_view/12288766" ref="D717" r:id="rId1427"/>
    <hyperlink display="https://my.zakupki.prom.ua/remote/dispatcher/state_purchase_view/24026810" ref="B718" r:id="rId1428"/>
    <hyperlink display="https://my.zakupki.prom.ua/remote/dispatcher/state_contracting_view/7674941" ref="D718" r:id="rId1429"/>
    <hyperlink display="https://my.zakupki.prom.ua/remote/dispatcher/state_purchase_view/27745720" ref="B719" r:id="rId1430"/>
    <hyperlink display="https://my.zakupki.prom.ua/remote/dispatcher/state_contracting_view/9445303" ref="D719" r:id="rId1431"/>
    <hyperlink display="https://my.zakupki.prom.ua/remote/dispatcher/state_purchase_view/28573497" ref="B720" r:id="rId1432"/>
    <hyperlink display="https://my.zakupki.prom.ua/remote/dispatcher/state_contracting_view/9837466" ref="D720" r:id="rId1433"/>
    <hyperlink display="https://my.zakupki.prom.ua/remote/dispatcher/state_purchase_view/30152647" ref="B721" r:id="rId1434"/>
    <hyperlink display="https://my.zakupki.prom.ua/remote/dispatcher/state_contracting_view/10570536" ref="D721" r:id="rId1435"/>
    <hyperlink display="https://my.zakupki.prom.ua/remote/dispatcher/state_purchase_view/29986512" ref="B722" r:id="rId1436"/>
    <hyperlink display="https://my.zakupki.prom.ua/remote/dispatcher/state_contracting_view/10493897" ref="D722" r:id="rId1437"/>
    <hyperlink display="https://my.zakupki.prom.ua/remote/dispatcher/state_purchase_view/29922190" ref="B723" r:id="rId1438"/>
    <hyperlink display="https://my.zakupki.prom.ua/remote/dispatcher/state_contracting_view/10476809" ref="D723" r:id="rId1439"/>
    <hyperlink display="https://my.zakupki.prom.ua/remote/dispatcher/state_purchase_view/30157041" ref="B724" r:id="rId1440"/>
    <hyperlink display="https://my.zakupki.prom.ua/remote/dispatcher/state_contracting_view/10572778" ref="D724" r:id="rId1441"/>
    <hyperlink display="https://my.zakupki.prom.ua/remote/dispatcher/state_purchase_view/27770030" ref="B725" r:id="rId1442"/>
    <hyperlink display="https://my.zakupki.prom.ua/remote/dispatcher/state_contracting_view/9464250" ref="D725" r:id="rId1443"/>
    <hyperlink display="https://my.zakupki.prom.ua/remote/dispatcher/state_purchase_view/27775322" ref="B726" r:id="rId1444"/>
    <hyperlink display="https://my.zakupki.prom.ua/remote/dispatcher/state_contracting_view/9465639" ref="D726" r:id="rId1445"/>
    <hyperlink display="https://my.zakupki.prom.ua/remote/dispatcher/state_purchase_view/33784945" ref="B727" r:id="rId1446"/>
    <hyperlink display="https://my.zakupki.prom.ua/remote/dispatcher/state_contracting_view/12269884" ref="D727" r:id="rId1447"/>
    <hyperlink display="https://my.zakupki.prom.ua/remote/dispatcher/state_purchase_view/24784610" ref="B728" r:id="rId1448"/>
    <hyperlink display="https://my.zakupki.prom.ua/remote/dispatcher/state_contracting_view/8044683" ref="D728" r:id="rId1449"/>
    <hyperlink display="https://my.zakupki.prom.ua/remote/dispatcher/state_purchase_view/26012511" ref="B729" r:id="rId1450"/>
    <hyperlink display="https://my.zakupki.prom.ua/remote/dispatcher/state_contracting_view/8654564" ref="D729" r:id="rId1451"/>
    <hyperlink display="https://my.zakupki.prom.ua/remote/dispatcher/state_purchase_view/25473287" ref="B730" r:id="rId1452"/>
    <hyperlink display="https://my.zakupki.prom.ua/remote/dispatcher/state_contracting_view/8378289" ref="D730" r:id="rId1453"/>
    <hyperlink display="https://my.zakupki.prom.ua/remote/dispatcher/state_purchase_view/26016483" ref="B731" r:id="rId1454"/>
    <hyperlink display="https://my.zakupki.prom.ua/remote/dispatcher/state_contracting_view/8654595" ref="D731" r:id="rId1455"/>
    <hyperlink display="https://my.zakupki.prom.ua/remote/dispatcher/state_purchase_view/31290055" ref="B732" r:id="rId1456"/>
    <hyperlink display="https://my.zakupki.prom.ua/remote/dispatcher/state_contracting_view/11440686" ref="D732" r:id="rId1457"/>
    <hyperlink display="https://my.zakupki.prom.ua/remote/dispatcher/state_purchase_view/31323912" ref="B733" r:id="rId1458"/>
    <hyperlink display="https://my.zakupki.prom.ua/remote/dispatcher/state_contracting_view/11109192" ref="D733" r:id="rId1459"/>
    <hyperlink display="https://my.zakupki.prom.ua/remote/dispatcher/state_purchase_view/25775738" ref="B734" r:id="rId1460"/>
    <hyperlink display="https://my.zakupki.prom.ua/remote/dispatcher/state_contracting_view/8507219" ref="D734" r:id="rId1461"/>
    <hyperlink display="https://my.zakupki.prom.ua/remote/dispatcher/state_purchase_view/25697523" ref="B735" r:id="rId1462"/>
    <hyperlink display="https://my.zakupki.prom.ua/remote/dispatcher/state_contracting_view/8469832" ref="D735" r:id="rId1463"/>
    <hyperlink display="https://my.zakupki.prom.ua/remote/dispatcher/state_purchase_view/25636847" ref="B736" r:id="rId1464"/>
    <hyperlink display="https://my.zakupki.prom.ua/remote/dispatcher/state_contracting_view/8443467" ref="D736" r:id="rId1465"/>
    <hyperlink display="https://my.zakupki.prom.ua/remote/dispatcher/state_purchase_view/25878289" ref="B737" r:id="rId1466"/>
    <hyperlink display="https://my.zakupki.prom.ua/remote/dispatcher/state_contracting_view/8555151" ref="D737" r:id="rId1467"/>
    <hyperlink display="https://my.zakupki.prom.ua/remote/dispatcher/state_purchase_view/25676964" ref="B738" r:id="rId1468"/>
    <hyperlink display="https://my.zakupki.prom.ua/remote/dispatcher/state_contracting_view/8459071" ref="D738" r:id="rId1469"/>
    <hyperlink display="https://my.zakupki.prom.ua/remote/dispatcher/state_purchase_view/29696190" ref="B739" r:id="rId1470"/>
    <hyperlink display="https://my.zakupki.prom.ua/remote/dispatcher/state_contracting_view/10359918" ref="D739" r:id="rId1471"/>
    <hyperlink display="https://my.zakupki.prom.ua/remote/dispatcher/state_purchase_view/22936288" ref="B740" r:id="rId1472"/>
    <hyperlink display="https://my.zakupki.prom.ua/remote/dispatcher/state_contracting_view/7215317" ref="D740" r:id="rId1473"/>
    <hyperlink display="https://my.zakupki.prom.ua/remote/dispatcher/state_purchase_view/23042662" ref="B741" r:id="rId1474"/>
    <hyperlink display="https://my.zakupki.prom.ua/remote/dispatcher/state_contracting_view/7251390" ref="D741" r:id="rId1475"/>
    <hyperlink display="https://my.zakupki.prom.ua/remote/dispatcher/state_purchase_view/26261699" ref="B742" r:id="rId1476"/>
    <hyperlink display="https://my.zakupki.prom.ua/remote/dispatcher/state_contracting_view/8740194" ref="D742" r:id="rId1477"/>
    <hyperlink display="https://my.zakupki.prom.ua/remote/dispatcher/state_purchase_view/26233950" ref="B743" r:id="rId1478"/>
    <hyperlink display="https://my.zakupki.prom.ua/remote/dispatcher/state_contracting_view/8734145" ref="D743" r:id="rId1479"/>
    <hyperlink display="https://my.zakupki.prom.ua/remote/dispatcher/state_purchase_view/26184434" ref="B744" r:id="rId1480"/>
    <hyperlink display="https://my.zakupki.prom.ua/remote/dispatcher/state_contracting_view/8703464" ref="D744" r:id="rId1481"/>
    <hyperlink display="https://my.zakupki.prom.ua/remote/dispatcher/state_purchase_view/25523718" ref="B745" r:id="rId1482"/>
    <hyperlink display="https://my.zakupki.prom.ua/remote/dispatcher/state_contracting_view/8386412" ref="D745" r:id="rId1483"/>
    <hyperlink display="https://my.zakupki.prom.ua/remote/dispatcher/state_purchase_view/25520884" ref="B746" r:id="rId1484"/>
    <hyperlink display="https://my.zakupki.prom.ua/remote/dispatcher/state_contracting_view/8385468" ref="D746" r:id="rId1485"/>
    <hyperlink display="https://my.zakupki.prom.ua/remote/dispatcher/state_purchase_view/25633887" ref="B747" r:id="rId1486"/>
    <hyperlink display="https://my.zakupki.prom.ua/remote/dispatcher/state_contracting_view/8443282" ref="D747" r:id="rId1487"/>
    <hyperlink display="https://my.zakupki.prom.ua/remote/dispatcher/state_purchase_view/25579025" ref="B748" r:id="rId1488"/>
    <hyperlink display="https://my.zakupki.prom.ua/remote/dispatcher/state_contracting_view/8792160" ref="D748" r:id="rId1489"/>
    <hyperlink display="https://my.zakupki.prom.ua/remote/dispatcher/state_purchase_view/26049011" ref="B749" r:id="rId1490"/>
    <hyperlink display="https://my.zakupki.prom.ua/remote/dispatcher/state_contracting_view/8649039" ref="D749" r:id="rId1491"/>
    <hyperlink display="https://my.zakupki.prom.ua/remote/dispatcher/state_purchase_view/26046048" ref="B750" r:id="rId1492"/>
    <hyperlink display="https://my.zakupki.prom.ua/remote/dispatcher/state_contracting_view/8635589" ref="D750" r:id="rId1493"/>
    <hyperlink display="https://my.zakupki.prom.ua/remote/dispatcher/state_purchase_view/26710623" ref="B751" r:id="rId1494"/>
    <hyperlink display="https://my.zakupki.prom.ua/remote/dispatcher/state_contracting_view/8953876" ref="D751" r:id="rId1495"/>
    <hyperlink display="https://my.zakupki.prom.ua/remote/dispatcher/state_purchase_view/26613957" ref="B752" r:id="rId1496"/>
    <hyperlink display="https://my.zakupki.prom.ua/remote/dispatcher/state_contracting_view/8908195" ref="D752" r:id="rId1497"/>
    <hyperlink display="https://my.zakupki.prom.ua/remote/dispatcher/state_purchase_view/25259454" ref="B753" r:id="rId1498"/>
    <hyperlink display="https://my.zakupki.prom.ua/remote/dispatcher/state_contracting_view/8280346" ref="D753" r:id="rId1499"/>
    <hyperlink display="https://my.zakupki.prom.ua/remote/dispatcher/state_purchase_view/24914719" ref="B754" r:id="rId1500"/>
    <hyperlink display="https://my.zakupki.prom.ua/remote/dispatcher/state_contracting_view/8096399" ref="D754" r:id="rId1501"/>
    <hyperlink display="https://my.zakupki.prom.ua/remote/dispatcher/state_purchase_view/24771241" ref="B755" r:id="rId1502"/>
    <hyperlink display="https://my.zakupki.prom.ua/remote/dispatcher/state_contracting_view/8026995" ref="D755" r:id="rId1503"/>
    <hyperlink display="https://my.zakupki.prom.ua/remote/dispatcher/state_purchase_view/25228855" ref="B756" r:id="rId1504"/>
    <hyperlink display="https://my.zakupki.prom.ua/remote/dispatcher/state_contracting_view/8260557" ref="D756" r:id="rId1505"/>
    <hyperlink display="https://my.zakupki.prom.ua/remote/dispatcher/state_purchase_view/32748896" ref="B757" r:id="rId1506"/>
    <hyperlink display="https://my.zakupki.prom.ua/remote/dispatcher/state_contracting_view/11771846" ref="D757" r:id="rId1507"/>
    <hyperlink display="https://my.zakupki.prom.ua/remote/dispatcher/state_purchase_view/31626352" ref="B758" r:id="rId1508"/>
    <hyperlink display="https://my.zakupki.prom.ua/remote/dispatcher/state_contracting_view/11250174" ref="D758" r:id="rId1509"/>
    <hyperlink display="https://my.zakupki.prom.ua/remote/dispatcher/state_purchase_view/22993852" ref="B759" r:id="rId1510"/>
    <hyperlink display="https://my.zakupki.prom.ua/remote/dispatcher/state_contracting_view/7234530" ref="D759" r:id="rId1511"/>
    <hyperlink display="https://my.zakupki.prom.ua/remote/dispatcher/state_purchase_view/23424657" ref="B760" r:id="rId1512"/>
    <hyperlink display="https://my.zakupki.prom.ua/remote/dispatcher/state_contracting_view/7418152" ref="D760" r:id="rId1513"/>
    <hyperlink display="https://my.zakupki.prom.ua/remote/dispatcher/state_purchase_view/23995676" ref="B761" r:id="rId1514"/>
    <hyperlink display="https://my.zakupki.prom.ua/remote/dispatcher/state_contracting_view/7664225" ref="D761" r:id="rId1515"/>
    <hyperlink display="https://my.zakupki.prom.ua/remote/dispatcher/state_purchase_view/24094672" ref="B762" r:id="rId1516"/>
    <hyperlink display="https://my.zakupki.prom.ua/remote/dispatcher/state_contracting_view/7713274" ref="D762" r:id="rId1517"/>
    <hyperlink display="https://my.zakupki.prom.ua/remote/dispatcher/state_purchase_view/23168551" ref="B763" r:id="rId1518"/>
    <hyperlink display="https://my.zakupki.prom.ua/remote/dispatcher/state_contracting_view/7301409" ref="D763" r:id="rId1519"/>
    <hyperlink display="https://my.zakupki.prom.ua/remote/dispatcher/state_purchase_view/32711565" ref="B764" r:id="rId1520"/>
    <hyperlink display="https://my.zakupki.prom.ua/remote/dispatcher/state_contracting_view/11748193" ref="D764" r:id="rId1521"/>
    <hyperlink display="https://my.zakupki.prom.ua/remote/dispatcher/state_purchase_view/31513840" ref="B765" r:id="rId1522"/>
    <hyperlink display="https://my.zakupki.prom.ua/remote/dispatcher/state_contracting_view/11197121" ref="D765" r:id="rId1523"/>
    <hyperlink display="https://my.zakupki.prom.ua/remote/dispatcher/state_purchase_view/23369624" ref="B766" r:id="rId1524"/>
    <hyperlink display="https://my.zakupki.prom.ua/remote/dispatcher/state_contracting_view/7382606" ref="D766" r:id="rId1525"/>
    <hyperlink display="https://my.zakupki.prom.ua/remote/dispatcher/state_purchase_view/33852709" ref="B767" r:id="rId1526"/>
    <hyperlink display="https://my.zakupki.prom.ua/remote/dispatcher/state_contracting_view/12302454" ref="D767" r:id="rId1527"/>
    <hyperlink display="https://my.zakupki.prom.ua/remote/dispatcher/state_purchase_view/29047220" ref="B768" r:id="rId1528"/>
    <hyperlink display="https://my.zakupki.prom.ua/remote/dispatcher/state_contracting_view/10181644" ref="D768" r:id="rId1529"/>
    <hyperlink display="https://my.zakupki.prom.ua/remote/dispatcher/state_purchase_view/23559861" ref="B769" r:id="rId1530"/>
    <hyperlink display="https://my.zakupki.prom.ua/remote/dispatcher/state_contracting_view/7465074" ref="D769" r:id="rId1531"/>
    <hyperlink display="https://my.zakupki.prom.ua/remote/dispatcher/state_purchase_view/24422864" ref="B770" r:id="rId1532"/>
    <hyperlink display="https://my.zakupki.prom.ua/remote/dispatcher/state_contracting_view/7861642" ref="D770" r:id="rId1533"/>
    <hyperlink display="https://my.zakupki.prom.ua/remote/dispatcher/state_purchase_view/24095045" ref="B771" r:id="rId1534"/>
    <hyperlink display="https://my.zakupki.prom.ua/remote/dispatcher/state_contracting_view/7718132" ref="D771" r:id="rId1535"/>
    <hyperlink display="https://my.zakupki.prom.ua/remote/dispatcher/state_purchase_view/22930203" ref="B772" r:id="rId1536"/>
    <hyperlink display="https://my.zakupki.prom.ua/remote/dispatcher/state_contracting_view/7213367" ref="D772" r:id="rId1537"/>
    <hyperlink display="https://my.zakupki.prom.ua/remote/dispatcher/state_purchase_view/26305292" ref="B773" r:id="rId1538"/>
    <hyperlink display="https://my.zakupki.prom.ua/remote/dispatcher/state_contracting_view/8774243" ref="D773" r:id="rId1539"/>
    <hyperlink display="https://my.zakupki.prom.ua/remote/dispatcher/state_purchase_view/27087434" ref="B774" r:id="rId1540"/>
    <hyperlink display="https://my.zakupki.prom.ua/remote/dispatcher/state_contracting_view/9132886" ref="D774" r:id="rId1541"/>
    <hyperlink display="https://my.zakupki.prom.ua/remote/dispatcher/state_purchase_view/24869321" ref="B775" r:id="rId1542"/>
    <hyperlink display="https://my.zakupki.prom.ua/remote/dispatcher/state_contracting_view/8085702" ref="D775" r:id="rId1543"/>
    <hyperlink display="https://my.zakupki.prom.ua/remote/dispatcher/state_purchase_view/24783330" ref="B776" r:id="rId1544"/>
    <hyperlink display="https://my.zakupki.prom.ua/remote/dispatcher/state_contracting_view/8044113" ref="D776" r:id="rId1545"/>
    <hyperlink display="https://my.zakupki.prom.ua/remote/dispatcher/state_purchase_view/24773555" ref="B777" r:id="rId1546"/>
    <hyperlink display="https://my.zakupki.prom.ua/remote/dispatcher/state_contracting_view/8041809" ref="D777" r:id="rId1547"/>
    <hyperlink display="https://my.zakupki.prom.ua/remote/dispatcher/state_purchase_view/24779853" ref="B778" r:id="rId1548"/>
    <hyperlink display="https://my.zakupki.prom.ua/remote/dispatcher/state_contracting_view/8031366" ref="D778" r:id="rId1549"/>
    <hyperlink display="https://my.zakupki.prom.ua/remote/dispatcher/state_purchase_view/31760403" ref="B779" r:id="rId1550"/>
    <hyperlink display="https://my.zakupki.prom.ua/remote/dispatcher/state_contracting_view/11309080" ref="D779" r:id="rId1551"/>
    <hyperlink display="https://my.zakupki.prom.ua/remote/dispatcher/state_purchase_view/25253956" ref="B780" r:id="rId1552"/>
    <hyperlink display="https://my.zakupki.prom.ua/remote/dispatcher/state_contracting_view/8277021" ref="D780" r:id="rId1553"/>
    <hyperlink display="https://my.zakupki.prom.ua/remote/dispatcher/state_purchase_view/25253351" ref="B781" r:id="rId1554"/>
    <hyperlink display="https://my.zakupki.prom.ua/remote/dispatcher/state_contracting_view/8276435" ref="D781" r:id="rId1555"/>
    <hyperlink display="https://my.zakupki.prom.ua/remote/dispatcher/state_purchase_view/24581352" ref="B782" r:id="rId1556"/>
    <hyperlink display="https://my.zakupki.prom.ua/remote/dispatcher/state_contracting_view/7942469" ref="D782" r:id="rId1557"/>
    <hyperlink display="https://my.zakupki.prom.ua/remote/dispatcher/state_purchase_view/23869434" ref="B783" r:id="rId1558"/>
    <hyperlink display="https://my.zakupki.prom.ua/remote/dispatcher/state_contracting_view/7603002" ref="D783" r:id="rId1559"/>
    <hyperlink display="https://my.zakupki.prom.ua/remote/dispatcher/state_purchase_view/24259229" ref="B784" r:id="rId1560"/>
    <hyperlink display="https://my.zakupki.prom.ua/remote/dispatcher/state_contracting_view/7788036" ref="D784" r:id="rId1561"/>
    <hyperlink display="https://my.zakupki.prom.ua/remote/dispatcher/state_purchase_view/25531334" ref="B785" r:id="rId1562"/>
    <hyperlink display="https://my.zakupki.prom.ua/remote/dispatcher/state_contracting_view/8390332" ref="D785" r:id="rId1563"/>
    <hyperlink display="https://my.zakupki.prom.ua/remote/dispatcher/state_purchase_view/26678251" ref="B786" r:id="rId1564"/>
    <hyperlink display="https://my.zakupki.prom.ua/remote/dispatcher/state_contracting_view/8947116" ref="D786" r:id="rId1565"/>
    <hyperlink display="https://my.zakupki.prom.ua/remote/dispatcher/state_purchase_view/28571051" ref="B787" r:id="rId1566"/>
    <hyperlink display="https://my.zakupki.prom.ua/remote/dispatcher/state_contracting_view/9836206" ref="D787" r:id="rId1567"/>
    <hyperlink display="https://my.zakupki.prom.ua/remote/dispatcher/state_purchase_view/30290174" ref="B788" r:id="rId1568"/>
    <hyperlink display="https://my.zakupki.prom.ua/remote/dispatcher/state_contracting_view/10635071" ref="D788" r:id="rId1569"/>
    <hyperlink display="https://my.zakupki.prom.ua/remote/dispatcher/state_purchase_view/29175420" ref="B789" r:id="rId1570"/>
    <hyperlink display="https://my.zakupki.prom.ua/remote/dispatcher/state_contracting_view/10123977" ref="D789" r:id="rId1571"/>
    <hyperlink display="https://my.zakupki.prom.ua/remote/dispatcher/state_purchase_view/27946326" ref="B790" r:id="rId1572"/>
    <hyperlink display="https://my.zakupki.prom.ua/remote/dispatcher/state_contracting_view/9799660" ref="D790" r:id="rId1573"/>
    <hyperlink display="https://my.zakupki.prom.ua/remote/dispatcher/state_purchase_view/29508240" ref="B791" r:id="rId1574"/>
    <hyperlink display="https://my.zakupki.prom.ua/remote/dispatcher/state_contracting_view/10273886" ref="D791" r:id="rId1575"/>
    <hyperlink display="https://my.zakupki.prom.ua/remote/dispatcher/state_purchase_view/30155269" ref="B792" r:id="rId1576"/>
    <hyperlink display="https://my.zakupki.prom.ua/remote/dispatcher/state_contracting_view/10571444" ref="D792" r:id="rId1577"/>
    <hyperlink display="https://my.zakupki.prom.ua/remote/dispatcher/state_purchase_view/30151661" ref="B793" r:id="rId1578"/>
    <hyperlink display="https://my.zakupki.prom.ua/remote/dispatcher/state_contracting_view/10570123" ref="D793" r:id="rId1579"/>
    <hyperlink display="https://my.zakupki.prom.ua/remote/dispatcher/state_purchase_view/30149209" ref="B794" r:id="rId1580"/>
    <hyperlink display="https://my.zakupki.prom.ua/remote/dispatcher/state_contracting_view/10568755" ref="D794" r:id="rId1581"/>
    <hyperlink display="https://my.zakupki.prom.ua/remote/dispatcher/state_purchase_view/30420840" ref="B795" r:id="rId1582"/>
    <hyperlink display="https://my.zakupki.prom.ua/remote/dispatcher/state_contracting_view/10694323" ref="D795" r:id="rId1583"/>
    <hyperlink display="https://my.zakupki.prom.ua/remote/dispatcher/state_purchase_view/26182687" ref="B796" r:id="rId1584"/>
    <hyperlink display="https://my.zakupki.prom.ua/remote/dispatcher/state_contracting_view/8702055" ref="D796" r:id="rId1585"/>
    <hyperlink display="https://my.zakupki.prom.ua/remote/dispatcher/state_purchase_view/25630636" ref="B797" r:id="rId1586"/>
    <hyperlink display="https://my.zakupki.prom.ua/remote/dispatcher/state_contracting_view/8442877" ref="D797" r:id="rId1587"/>
    <hyperlink display="https://my.zakupki.prom.ua/remote/dispatcher/state_purchase_view/25629987" ref="B798" r:id="rId1588"/>
    <hyperlink display="https://my.zakupki.prom.ua/remote/dispatcher/state_contracting_view/8442664" ref="D798" r:id="rId1589"/>
    <hyperlink display="https://my.zakupki.prom.ua/remote/dispatcher/state_purchase_view/25629260" ref="B799" r:id="rId1590"/>
    <hyperlink display="https://my.zakupki.prom.ua/remote/dispatcher/state_contracting_view/8442469" ref="D799" r:id="rId1591"/>
    <hyperlink display="https://my.zakupki.prom.ua/remote/dispatcher/state_purchase_view/30682702" ref="B800" r:id="rId1592"/>
    <hyperlink display="https://my.zakupki.prom.ua/remote/dispatcher/state_contracting_view/10813931" ref="D800" r:id="rId1593"/>
    <hyperlink display="https://my.zakupki.prom.ua/remote/dispatcher/state_purchase_view/31887163" ref="B801" r:id="rId1594"/>
    <hyperlink display="https://my.zakupki.prom.ua/remote/dispatcher/state_contracting_view/11368080" ref="D801" r:id="rId1595"/>
    <hyperlink display="https://my.zakupki.prom.ua/remote/dispatcher/state_purchase_view/32038631" ref="B802" r:id="rId1596"/>
    <hyperlink display="https://my.zakupki.prom.ua/remote/dispatcher/state_contracting_view/11440310" ref="D802" r:id="rId1597"/>
    <hyperlink display="https://my.zakupki.prom.ua/remote/dispatcher/state_purchase_view/31508514" ref="B803" r:id="rId1598"/>
    <hyperlink display="https://my.zakupki.prom.ua/remote/dispatcher/state_contracting_view/11194417" ref="D803" r:id="rId1599"/>
    <hyperlink display="https://my.zakupki.prom.ua/remote/dispatcher/state_purchase_view/25057731" ref="B804" r:id="rId1600"/>
    <hyperlink display="https://my.zakupki.prom.ua/remote/dispatcher/state_contracting_view/8164714" ref="D804" r:id="rId1601"/>
    <hyperlink display="https://my.zakupki.prom.ua/remote/dispatcher/state_purchase_view/23591172" ref="B805" r:id="rId1602"/>
    <hyperlink display="https://my.zakupki.prom.ua/remote/dispatcher/state_contracting_view/7478454" ref="D805" r:id="rId1603"/>
    <hyperlink display="https://my.zakupki.prom.ua/remote/dispatcher/state_purchase_view/24881756" ref="B806" r:id="rId1604"/>
    <hyperlink display="https://my.zakupki.prom.ua/remote/dispatcher/state_contracting_view/8080586" ref="D806" r:id="rId1605"/>
    <hyperlink display="https://my.zakupki.prom.ua/remote/dispatcher/state_purchase_view/29429894" ref="B807" r:id="rId1606"/>
    <hyperlink display="https://my.zakupki.prom.ua/remote/dispatcher/state_contracting_view/10236716" ref="D807" r:id="rId1607"/>
    <hyperlink display="https://my.zakupki.prom.ua/remote/dispatcher/state_purchase_view/26524192" ref="B808" r:id="rId1608"/>
    <hyperlink display="https://my.zakupki.prom.ua/remote/dispatcher/state_contracting_view/8866190" ref="D808" r:id="rId1609"/>
    <hyperlink display="https://my.zakupki.prom.ua/remote/dispatcher/state_purchase_view/26257470" ref="B809" r:id="rId1610"/>
    <hyperlink display="https://my.zakupki.prom.ua/remote/dispatcher/state_contracting_view/8739138" ref="D809" r:id="rId1611"/>
    <hyperlink display="https://my.zakupki.prom.ua/remote/dispatcher/state_purchase_view/26101604" ref="B810" r:id="rId1612"/>
    <hyperlink display="https://my.zakupki.prom.ua/remote/dispatcher/state_contracting_view/8661940" ref="D810" r:id="rId1613"/>
    <hyperlink display="https://my.zakupki.prom.ua/remote/dispatcher/state_purchase_view/25840169" ref="B811" r:id="rId1614"/>
    <hyperlink display="https://my.zakupki.prom.ua/remote/dispatcher/state_contracting_view/8784939" ref="D811" r:id="rId1615"/>
    <hyperlink display="https://my.zakupki.prom.ua/remote/dispatcher/state_purchase_view/25730212" ref="B812" r:id="rId1616"/>
    <hyperlink display="https://my.zakupki.prom.ua/remote/dispatcher/state_contracting_view/8488875" ref="D812" r:id="rId1617"/>
    <hyperlink display="https://my.zakupki.prom.ua/remote/dispatcher/state_purchase_view/25878649" ref="B813" r:id="rId1618"/>
    <hyperlink display="https://my.zakupki.prom.ua/remote/dispatcher/state_contracting_view/8555339" ref="D813" r:id="rId1619"/>
    <hyperlink display="https://my.zakupki.prom.ua/remote/dispatcher/state_purchase_view/26213906" ref="B814" r:id="rId1620"/>
    <hyperlink display="https://my.zakupki.prom.ua/remote/dispatcher/state_contracting_view/8717215" ref="D814" r:id="rId1621"/>
    <hyperlink display="https://my.zakupki.prom.ua/remote/dispatcher/state_purchase_view/25256245" ref="B815" r:id="rId1622"/>
    <hyperlink display="https://my.zakupki.prom.ua/remote/dispatcher/state_contracting_view/8278278" ref="D815" r:id="rId1623"/>
    <hyperlink display="https://my.zakupki.prom.ua/remote/dispatcher/state_purchase_view/26454479" ref="B816" r:id="rId1624"/>
    <hyperlink display="https://my.zakupki.prom.ua/remote/dispatcher/state_contracting_view/8837494" ref="D816" r:id="rId1625"/>
    <hyperlink display="https://my.zakupki.prom.ua/remote/dispatcher/state_purchase_view/26418067" ref="B817" r:id="rId1626"/>
    <hyperlink display="https://my.zakupki.prom.ua/remote/dispatcher/state_contracting_view/8815752" ref="D817" r:id="rId1627"/>
    <hyperlink display="https://my.zakupki.prom.ua/remote/dispatcher/state_purchase_view/25546284" ref="B818" r:id="rId1628"/>
    <hyperlink display="https://my.zakupki.prom.ua/remote/dispatcher/state_contracting_view/8397460" ref="D818" r:id="rId1629"/>
    <hyperlink display="https://my.zakupki.prom.ua/remote/dispatcher/state_purchase_view/25486157" ref="B819" r:id="rId1630"/>
    <hyperlink display="https://my.zakupki.prom.ua/remote/dispatcher/state_contracting_view/8371263" ref="D819" r:id="rId1631"/>
    <hyperlink display="https://my.zakupki.prom.ua/remote/dispatcher/state_purchase_view/27814362" ref="B820" r:id="rId1632"/>
    <hyperlink display="https://my.zakupki.prom.ua/remote/dispatcher/state_contracting_view/9478921" ref="D820" r:id="rId1633"/>
    <hyperlink display="https://my.zakupki.prom.ua/remote/dispatcher/state_purchase_view/29086068" ref="B821" r:id="rId1634"/>
    <hyperlink display="https://my.zakupki.prom.ua/remote/dispatcher/state_contracting_view/10075355" ref="D821" r:id="rId1635"/>
    <hyperlink display="https://my.zakupki.prom.ua/remote/dispatcher/state_purchase_view/28545795" ref="B822" r:id="rId1636"/>
    <hyperlink display="https://my.zakupki.prom.ua/remote/dispatcher/state_contracting_view/9824677" ref="D822" r:id="rId1637"/>
    <hyperlink display="https://my.zakupki.prom.ua/remote/dispatcher/state_purchase_view/27733942" ref="B823" r:id="rId1638"/>
    <hyperlink display="https://my.zakupki.prom.ua/remote/dispatcher/state_contracting_view/9440353" ref="D823" r:id="rId1639"/>
    <hyperlink display="https://my.zakupki.prom.ua/remote/dispatcher/state_purchase_view/31886649" ref="B824" r:id="rId1640"/>
    <hyperlink display="https://my.zakupki.prom.ua/remote/dispatcher/state_contracting_view/11368323" ref="D824" r:id="rId1641"/>
    <hyperlink display="https://my.zakupki.prom.ua/remote/dispatcher/state_purchase_view/31885767" ref="B825" r:id="rId1642"/>
    <hyperlink display="https://my.zakupki.prom.ua/remote/dispatcher/state_contracting_view/11367630" ref="D825" r:id="rId1643"/>
    <hyperlink display="https://my.zakupki.prom.ua/remote/dispatcher/state_purchase_view/33301339" ref="B826" r:id="rId1644"/>
    <hyperlink display="https://my.zakupki.prom.ua/remote/dispatcher/state_contracting_view/12029611" ref="D826" r:id="rId1645"/>
    <hyperlink display="https://my.zakupki.prom.ua/remote/dispatcher/state_purchase_view/30052407" ref="B827" r:id="rId1646"/>
    <hyperlink display="https://my.zakupki.prom.ua/remote/dispatcher/state_contracting_view/10544095" ref="D827" r:id="rId1647"/>
    <hyperlink display="https://my.zakupki.prom.ua/remote/dispatcher/state_purchase_view/29987049" ref="B828" r:id="rId1648"/>
    <hyperlink display="https://my.zakupki.prom.ua/remote/dispatcher/state_contracting_view/10494338" ref="D828" r:id="rId1649"/>
    <hyperlink display="https://my.zakupki.prom.ua/remote/dispatcher/state_purchase_view/27779282" ref="B829" r:id="rId1650"/>
    <hyperlink display="https://my.zakupki.prom.ua/remote/dispatcher/state_contracting_view/9464356" ref="D829" r:id="rId1651"/>
    <hyperlink display="https://my.zakupki.prom.ua/remote/dispatcher/state_purchase_view/27777315" ref="B830" r:id="rId1652"/>
    <hyperlink display="https://my.zakupki.prom.ua/remote/dispatcher/state_contracting_view/9464957" ref="D830" r:id="rId1653"/>
    <hyperlink display="https://my.zakupki.prom.ua/remote/dispatcher/state_purchase_view/27776583" ref="B831" r:id="rId1654"/>
    <hyperlink display="https://my.zakupki.prom.ua/remote/dispatcher/state_contracting_view/9465309" ref="D831" r:id="rId1655"/>
    <hyperlink display="https://my.zakupki.prom.ua/remote/dispatcher/state_purchase_view/27735706" ref="B832" r:id="rId1656"/>
    <hyperlink display="https://my.zakupki.prom.ua/remote/dispatcher/state_contracting_view/9440803" ref="D832" r:id="rId1657"/>
    <hyperlink display="https://my.zakupki.prom.ua/remote/dispatcher/state_purchase_view/24255630" ref="B833" r:id="rId1658"/>
    <hyperlink display="https://my.zakupki.prom.ua/remote/dispatcher/state_contracting_view/7785288" ref="D833" r:id="rId1659"/>
    <hyperlink display="https://my.zakupki.prom.ua/remote/dispatcher/state_purchase_view/28569960" ref="B834" r:id="rId1660"/>
    <hyperlink display="https://my.zakupki.prom.ua/remote/dispatcher/state_contracting_view/9835891" ref="D834" r:id="rId1661"/>
    <hyperlink display="https://my.zakupki.prom.ua/remote/dispatcher/state_purchase_view/27775964" ref="B835" r:id="rId1662"/>
    <hyperlink display="https://my.zakupki.prom.ua/remote/dispatcher/state_contracting_view/9465105" ref="D835" r:id="rId1663"/>
    <hyperlink display="https://my.zakupki.prom.ua/remote/dispatcher/state_purchase_view/23362368" ref="B836" r:id="rId1664"/>
    <hyperlink display="https://my.zakupki.prom.ua/remote/dispatcher/state_contracting_view/7379628" ref="D836" r:id="rId1665"/>
    <hyperlink display="https://my.zakupki.prom.ua/remote/dispatcher/state_purchase_view/22931718" ref="B837" r:id="rId1666"/>
    <hyperlink display="https://my.zakupki.prom.ua/remote/dispatcher/state_contracting_view/7213922" ref="D837" r:id="rId1667"/>
    <hyperlink display="https://my.zakupki.prom.ua/remote/dispatcher/state_purchase_view/22930528" ref="B838" r:id="rId1668"/>
    <hyperlink display="https://my.zakupki.prom.ua/remote/dispatcher/state_contracting_view/7213433" ref="D838" r:id="rId1669"/>
    <hyperlink display="https://my.zakupki.prom.ua/remote/dispatcher/state_purchase_view/24352410" ref="B839" r:id="rId1670"/>
    <hyperlink display="https://my.zakupki.prom.ua/remote/dispatcher/state_contracting_view/7827835" ref="D839" r:id="rId1671"/>
    <hyperlink display="https://my.zakupki.prom.ua/remote/dispatcher/state_purchase_view/24056286" ref="B840" r:id="rId1672"/>
    <hyperlink display="https://my.zakupki.prom.ua/remote/dispatcher/state_contracting_view/7688988" ref="D840" r:id="rId1673"/>
    <hyperlink display="https://my.zakupki.prom.ua/remote/dispatcher/state_purchase_view/25062505" ref="B841" r:id="rId1674"/>
    <hyperlink display="https://my.zakupki.prom.ua/remote/dispatcher/state_contracting_view/8166768" ref="D841" r:id="rId1675"/>
    <hyperlink display="https://my.zakupki.prom.ua/remote/dispatcher/state_purchase_view/25020739" ref="B842" r:id="rId1676"/>
    <hyperlink display="https://my.zakupki.prom.ua/remote/dispatcher/state_contracting_view/8147239" ref="D842" r:id="rId1677"/>
    <hyperlink display="https://my.zakupki.prom.ua/remote/dispatcher/state_purchase_view/26116129" ref="B843" r:id="rId1678"/>
    <hyperlink display="https://my.zakupki.prom.ua/remote/dispatcher/state_contracting_view/8675778" ref="D843" r:id="rId1679"/>
    <hyperlink display="https://my.zakupki.prom.ua/remote/dispatcher/state_purchase_view/32579332" ref="B844" r:id="rId1680"/>
    <hyperlink display="https://my.zakupki.prom.ua/remote/dispatcher/state_contracting_view/11686653" ref="D844" r:id="rId1681"/>
    <hyperlink display="https://my.zakupki.prom.ua/remote/dispatcher/state_purchase_view/24717056" ref="B845" r:id="rId1682"/>
    <hyperlink display="https://my.zakupki.prom.ua/remote/dispatcher/state_contracting_view/8072134" ref="D845" r:id="rId1683"/>
    <hyperlink display="https://my.zakupki.prom.ua/remote/dispatcher/state_purchase_view/24579563" ref="B846" r:id="rId1684"/>
    <hyperlink display="https://my.zakupki.prom.ua/remote/dispatcher/state_contracting_view/7941265" ref="D846" r:id="rId1685"/>
    <hyperlink display="https://my.zakupki.prom.ua/remote/dispatcher/state_purchase_view/26258544" ref="B847" r:id="rId1686"/>
    <hyperlink display="https://my.zakupki.prom.ua/remote/dispatcher/state_contracting_view/8738790" ref="D847" r:id="rId1687"/>
    <hyperlink display="https://my.zakupki.prom.ua/remote/dispatcher/state_purchase_view/25630984" ref="B848" r:id="rId1688"/>
    <hyperlink display="https://my.zakupki.prom.ua/remote/dispatcher/state_contracting_view/8442715" ref="D848" r:id="rId1689"/>
    <hyperlink display="https://my.zakupki.prom.ua/remote/dispatcher/state_purchase_view/25635050" ref="B849" r:id="rId1690"/>
    <hyperlink display="https://my.zakupki.prom.ua/remote/dispatcher/state_contracting_view/8443274" ref="D849" r:id="rId1691"/>
    <hyperlink display="https://my.zakupki.prom.ua/remote/dispatcher/state_purchase_view/25516893" ref="B850" r:id="rId1692"/>
    <hyperlink display="https://my.zakupki.prom.ua/remote/dispatcher/state_contracting_view/8382758" ref="D850" r:id="rId1693"/>
    <hyperlink display="https://my.zakupki.prom.ua/remote/dispatcher/state_purchase_view/25514970" ref="B851" r:id="rId1694"/>
    <hyperlink display="https://my.zakupki.prom.ua/remote/dispatcher/state_contracting_view/8382138" ref="D851" r:id="rId1695"/>
    <hyperlink display="https://my.zakupki.prom.ua/remote/dispatcher/state_purchase_view/26546958" ref="B852" r:id="rId1696"/>
    <hyperlink display="https://my.zakupki.prom.ua/remote/dispatcher/state_contracting_view/9155213" ref="D852" r:id="rId1697"/>
    <hyperlink display="https://my.zakupki.prom.ua/remote/dispatcher/state_purchase_view/26355836" ref="B853" r:id="rId1698"/>
    <hyperlink display="https://my.zakupki.prom.ua/remote/dispatcher/state_contracting_view/8785242" ref="D853" r:id="rId1699"/>
    <hyperlink display="https://my.zakupki.prom.ua/remote/dispatcher/state_purchase_view/26335238" ref="B854" r:id="rId1700"/>
    <hyperlink display="https://my.zakupki.prom.ua/remote/dispatcher/state_contracting_view/8777620" ref="D854" r:id="rId1701"/>
    <hyperlink display="https://my.zakupki.prom.ua/remote/dispatcher/state_purchase_view/25539835" ref="B855" r:id="rId1702"/>
    <hyperlink display="https://my.zakupki.prom.ua/remote/dispatcher/state_contracting_view/8791902" ref="D855" r:id="rId1703"/>
    <hyperlink display="https://my.zakupki.prom.ua/remote/dispatcher/state_purchase_view/24006477" ref="B856" r:id="rId1704"/>
    <hyperlink display="https://my.zakupki.prom.ua/remote/dispatcher/state_contracting_view/7665667" ref="D856" r:id="rId1705"/>
    <hyperlink display="https://my.zakupki.prom.ua/remote/dispatcher/state_purchase_view/23997650" ref="B857" r:id="rId1706"/>
    <hyperlink display="https://my.zakupki.prom.ua/remote/dispatcher/state_contracting_view/7665082" ref="D857" r:id="rId1707"/>
    <hyperlink display="https://my.zakupki.prom.ua/remote/dispatcher/state_purchase_view/23996253" ref="B858" r:id="rId1708"/>
    <hyperlink display="https://my.zakupki.prom.ua/remote/dispatcher/state_contracting_view/7664646" ref="D858" r:id="rId1709"/>
    <hyperlink display="https://my.zakupki.prom.ua/remote/dispatcher/state_purchase_view/24294389" ref="B859" r:id="rId1710"/>
    <hyperlink display="https://my.zakupki.prom.ua/remote/dispatcher/state_contracting_view/7800586" ref="D859" r:id="rId1711"/>
    <hyperlink display="https://my.zakupki.prom.ua/remote/dispatcher/state_purchase_view/22908852" ref="B860" r:id="rId1712"/>
    <hyperlink display="https://my.zakupki.prom.ua/remote/dispatcher/state_contracting_view/7207750" ref="D860" r:id="rId1713"/>
    <hyperlink display="https://my.zakupki.prom.ua/remote/dispatcher/state_purchase_view/23801592" ref="B861" r:id="rId1714"/>
    <hyperlink display="https://my.zakupki.prom.ua/remote/dispatcher/state_contracting_view/7572327" ref="D861" r:id="rId1715"/>
    <hyperlink display="https://my.zakupki.prom.ua/remote/dispatcher/state_purchase_view/25399539" ref="B862" r:id="rId1716"/>
    <hyperlink display="https://my.zakupki.prom.ua/remote/dispatcher/state_contracting_view/8329752" ref="D862" r:id="rId1717"/>
    <hyperlink display="https://my.zakupki.prom.ua/remote/dispatcher/state_purchase_view/25873318" ref="B863" r:id="rId1718"/>
    <hyperlink display="https://my.zakupki.prom.ua/remote/dispatcher/state_contracting_view/8552821" ref="D863" r:id="rId1719"/>
    <hyperlink display="https://my.zakupki.prom.ua/remote/dispatcher/state_purchase_view/26250431" ref="B864" r:id="rId1720"/>
    <hyperlink display="https://my.zakupki.prom.ua/remote/dispatcher/state_contracting_view/8735076" ref="D864" r:id="rId1721"/>
    <hyperlink display="https://my.zakupki.prom.ua/remote/dispatcher/state_purchase_view/26237144" ref="B865" r:id="rId1722"/>
    <hyperlink display="https://my.zakupki.prom.ua/remote/dispatcher/state_contracting_view/8733955" ref="D865" r:id="rId1723"/>
    <hyperlink display="https://my.zakupki.prom.ua/remote/dispatcher/state_purchase_view/31194805" ref="B866" r:id="rId1724"/>
    <hyperlink display="https://my.zakupki.prom.ua/remote/dispatcher/state_contracting_view/11050520" ref="D866" r:id="rId1725"/>
    <hyperlink display="https://my.zakupki.prom.ua/remote/dispatcher/state_purchase_view/30965995" ref="B867" r:id="rId1726"/>
    <hyperlink display="https://my.zakupki.prom.ua/remote/dispatcher/state_contracting_view/10946150" ref="D867" r:id="rId1727"/>
    <hyperlink display="https://my.zakupki.prom.ua/remote/dispatcher/state_purchase_view/31541355" ref="B868" r:id="rId1728"/>
    <hyperlink display="https://my.zakupki.prom.ua/remote/dispatcher/state_contracting_view/11210064" ref="D868" r:id="rId1729"/>
    <hyperlink display="https://my.zakupki.prom.ua/remote/dispatcher/state_purchase_view/26569935" ref="B869" r:id="rId1730"/>
    <hyperlink display="https://my.zakupki.prom.ua/remote/dispatcher/state_contracting_view/8894505" ref="D869" r:id="rId1731"/>
    <hyperlink display="https://my.zakupki.prom.ua/remote/dispatcher/state_purchase_view/31783334" ref="B870" r:id="rId1732"/>
    <hyperlink display="https://my.zakupki.prom.ua/remote/dispatcher/state_contracting_view/11320040" ref="D870" r:id="rId1733"/>
    <hyperlink display="https://my.zakupki.prom.ua/remote/dispatcher/state_purchase_view/27186305" ref="B871" r:id="rId1734"/>
    <hyperlink display="https://my.zakupki.prom.ua/remote/dispatcher/state_contracting_view/9179589" ref="D871" r:id="rId1735"/>
    <hyperlink display="https://my.zakupki.prom.ua/remote/dispatcher/state_purchase_view/27185194" ref="B872" r:id="rId1736"/>
    <hyperlink display="https://my.zakupki.prom.ua/remote/dispatcher/state_contracting_view/9179209" ref="D872" r:id="rId1737"/>
    <hyperlink display="https://my.zakupki.prom.ua/remote/dispatcher/state_purchase_view/28487493" ref="B873" r:id="rId1738"/>
    <hyperlink display="https://my.zakupki.prom.ua/remote/dispatcher/state_contracting_view/9796700" ref="D873" r:id="rId1739"/>
    <hyperlink display="https://my.zakupki.prom.ua/remote/dispatcher/state_purchase_view/28487371" ref="B874" r:id="rId1740"/>
    <hyperlink display="https://my.zakupki.prom.ua/remote/dispatcher/state_contracting_view/9796621" ref="D874" r:id="rId1741"/>
    <hyperlink display="https://my.zakupki.prom.ua/remote/dispatcher/state_purchase_view/27172195" ref="B875" r:id="rId1742"/>
    <hyperlink display="https://my.zakupki.prom.ua/remote/dispatcher/state_contracting_view/9198053" ref="D875" r:id="rId1743"/>
    <hyperlink display="https://my.zakupki.prom.ua/remote/dispatcher/state_purchase_view/27738714" ref="B876" r:id="rId1744"/>
    <hyperlink display="https://my.zakupki.prom.ua/remote/dispatcher/state_contracting_view/9496351" ref="D876" r:id="rId1745"/>
    <hyperlink display="https://my.zakupki.prom.ua/remote/dispatcher/state_purchase_view/26620666" ref="B877" r:id="rId1746"/>
    <hyperlink display="https://my.zakupki.prom.ua/remote/dispatcher/state_contracting_view/8925125" ref="D877" r:id="rId1747"/>
    <hyperlink display="https://my.zakupki.prom.ua/remote/dispatcher/state_purchase_view/27858686" ref="B878" r:id="rId1748"/>
    <hyperlink display="https://my.zakupki.prom.ua/remote/dispatcher/state_contracting_view/9500197" ref="D878" r:id="rId1749"/>
    <hyperlink display="https://my.zakupki.prom.ua/remote/dispatcher/state_purchase_view/27857947" ref="B879" r:id="rId1750"/>
    <hyperlink display="https://my.zakupki.prom.ua/remote/dispatcher/state_contracting_view/9499874" ref="D879" r:id="rId1751"/>
    <hyperlink display="https://my.zakupki.prom.ua/remote/dispatcher/state_purchase_view/26621404" ref="B880" r:id="rId1752"/>
    <hyperlink display="https://my.zakupki.prom.ua/remote/dispatcher/state_contracting_view/8925496" ref="D880" r:id="rId1753"/>
    <hyperlink display="https://my.zakupki.prom.ua/remote/dispatcher/state_purchase_view/26616169" ref="B881" r:id="rId1754"/>
    <hyperlink display="https://my.zakupki.prom.ua/remote/dispatcher/state_contracting_view/8924147" ref="D881" r:id="rId1755"/>
    <hyperlink display="https://my.zakupki.prom.ua/remote/dispatcher/state_purchase_view/27791312" ref="B882" r:id="rId1756"/>
    <hyperlink display="https://my.zakupki.prom.ua/remote/dispatcher/state_contracting_view/9467686" ref="D882" r:id="rId1757"/>
    <hyperlink display="https://my.zakupki.prom.ua/remote/dispatcher/state_purchase_view/27213493" ref="B883" r:id="rId1758"/>
    <hyperlink display="https://my.zakupki.prom.ua/remote/dispatcher/state_contracting_view/9195053" ref="D883" r:id="rId1759"/>
    <hyperlink display="https://my.zakupki.prom.ua/remote/dispatcher/state_purchase_view/25203333" ref="B884" r:id="rId1760"/>
    <hyperlink display="https://my.zakupki.prom.ua/remote/dispatcher/state_contracting_view/8243570" ref="D884" r:id="rId1761"/>
    <hyperlink display="https://my.zakupki.prom.ua/remote/dispatcher/state_purchase_view/26856783" ref="B885" r:id="rId1762"/>
    <hyperlink display="https://my.zakupki.prom.ua/remote/dispatcher/state_contracting_view/9023955" ref="D885" r:id="rId1763"/>
    <hyperlink display="https://my.zakupki.prom.ua/remote/dispatcher/state_purchase_view/26055228" ref="B886" r:id="rId1764"/>
    <hyperlink display="https://my.zakupki.prom.ua/remote/dispatcher/state_contracting_view/8640087" ref="D886" r:id="rId1765"/>
    <hyperlink display="https://my.zakupki.prom.ua/remote/dispatcher/state_purchase_view/26057856" ref="B887" r:id="rId1766"/>
    <hyperlink display="https://my.zakupki.prom.ua/remote/dispatcher/state_contracting_view/8641641" ref="D887" r:id="rId1767"/>
  </hyperlinks>
  <pageMargins left="0.75" right="0.75" top="1" bottom="1" header="0.5" footer="0.5"/>
</worksheet>
</file>

<file path=docProps/app.xml><?xml version="1.0" encoding="utf-8"?>
<ns0:Properties xmlns:ns0="http://schemas.openxmlformats.org/officeDocument/2006/extended-properties">
  <ns0:Application>Microsoft Excel</ns0:Application>
  <ns0:DocSecurity>0</ns0:DocSecurity>
  <ns0:ScaleCrop>false</ns0:ScaleCrop>
  <ns0:Company/>
  <ns0:LinksUpToDate>false</ns0:LinksUpToDate>
  <ns0:SharedDoc>false</ns0:SharedDoc>
  <ns0:HyperlinksChanged>false</ns0:HyperlinksChanged>
  <ns0:AppVersion>12.0000</ns0:AppVersion>
  <ns0:HeadingPairs>
    <vt:vector xmlns:vt="http://schemas.openxmlformats.org/officeDocument/2006/docPropsVTypes" size="2" baseType="variant">
      <vt:variant>
        <vt:lpstr>Worksheets</vt:lpstr>
      </vt:variant>
      <vt:variant>
        <vt:i4>1</vt:i4>
      </vt:variant>
    </vt:vector>
  </ns0:HeadingPairs>
  <ns0:TitlesOfParts>
    <vt:vector xmlns:vt="http://schemas.openxmlformats.org/officeDocument/2006/docPropsVTypes" size="1" baseType="lpstr">
      <vt:lpstr>Sheet</vt:lpstr>
    </vt:vector>
  </ns0:TitlesOfParts>
</ns0:Properties>
</file>

<file path=docProps/core.xml><?xml version="1.0" encoding="utf-8"?>
<cp:coreProperties xmlns:cp="http://schemas.openxmlformats.org/package/2006/metadata/core-properties">
  <dc:creator xmlns:dc="http://purl.org/dc/elements/1.1/">Unknown</dc:creator>
  <cp:lastModifiedBy>Unknown</cp:lastModifiedBy>
  <dcterms:created xmlns:dcterms="http://purl.org/dc/terms/" xmlns:xsi="http://www.w3.org/2001/XMLSchema-instance" xsi:type="dcterms:W3CDTF">2023-03-23T15:58:10Z</dcterms:created>
  <dcterms:modified xmlns:dcterms="http://purl.org/dc/terms/" xmlns:xsi="http://www.w3.org/2001/XMLSchema-instance" xsi:type="dcterms:W3CDTF">2023-03-23T15:58:10Z</dcterms:modified>
  <dc:title xmlns:dc="http://purl.org/dc/elements/1.1/">Untitled</dc:title>
  <dc:description xmlns:dc="http://purl.org/dc/elements/1.1/"/>
  <dc:subject xmlns:dc="http://purl.org/dc/elements/1.1/"/>
  <cp:keywords/>
  <cp:category/>
</cp:coreProperties>
</file>