
<file path=[Content_Types].xml><?xml version="1.0" encoding="utf-8"?>
<Types xmlns="http://schemas.openxmlformats.org/package/2006/content-types">
  <Override ContentType="application/vnd.openxmlformats-officedocument.theme+xml" PartName="/xl/theme/theme1.xml"/>
  <Override ContentType="application/vnd.openxmlformats-officedocument.spreadsheetml.styles+xml" PartName="/xl/styles.xml"/>
  <Default ContentType="application/vnd.openxmlformats-package.relationships+xml" Extension="rels"/>
  <Default ContentType="application/xml" Extension="xml"/>
  <Default ContentType="image/png" Extension="png"/>
  <Default ContentType="application/vnd.openxmlformats-officedocument.vmlDrawing" Extension="vml"/>
  <Override ContentType="application/vnd.openxmlformats-officedocument.spreadsheetml.sheet.main+xml" PartName="/xl/workbook.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PartName="/xl/worksheets/sheet1.xml" ContentType="application/vnd.openxmlformats-officedocument.spreadsheetml.worksheet+xml"/>
</Types>
</file>

<file path=_rels/.rels><ns0:Relationships xmlns:ns0="http://schemas.openxmlformats.org/package/2006/relationships">
  <ns0:Relationship Id="rId1" Target="xl/workbook.xml" Type="http://schemas.openxmlformats.org/officeDocument/2006/relationships/officeDocument"/>
  <ns0:Relationship Id="rId2" Target="docProps/core.xml" Type="http://schemas.openxmlformats.org/package/2006/relationships/metadata/core-properties"/>
  <ns0:Relationship Id="rId3" Target="docProps/app.xml" Type="http://schemas.openxmlformats.org/officeDocument/2006/relationships/extended-properties"/>
</ns0:Relationships>

</file>

<file path=xl/workbook.xml><?xml version="1.0" encoding="utf-8"?>
<s:workbook xmlns:s="http://schemas.openxmlformats.org/spreadsheetml/2006/main">
  <s:fileVersion appName="xl" lastEdited="4" lowestEdited="4" rupBuild="4505"/>
  <s:workbookPr defaultThemeVersion="124226" codeName="ThisWorkbook"/>
  <s:bookViews>
    <s:workbookView activeTab="0" autoFilterDateGrouping="1" firstSheet="0" minimized="0" showHorizontalScroll="1" showSheetTabs="1" showVerticalScroll="1" tabRatio="600" visibility="visible"/>
  </s:bookViews>
  <s:sheets>
    <s:sheet xmlns:r="http://schemas.openxmlformats.org/officeDocument/2006/relationships" name="Sheet" sheetId="1" r:id="rId1"/>
  </s:sheets>
  <s:definedNames>
    <s:definedName name="_xlnm._FilterDatabase" localSheetId="0" hidden="1">'Sheet'!$A$5:$P$1005</s:definedName>
  </s:definedNames>
  <s:calcPr calcId="124519" calcMode="auto" fullCalcOnLoad="1"/>
</s:workbook>
</file>

<file path=xl/sharedStrings.xml><?xml version="1.0" encoding="utf-8"?>
<sst xmlns="http://schemas.openxmlformats.org/spreadsheetml/2006/main" uniqueCount="3567">
  <si>
    <t xml:space="preserve">
09123000-7 Природний газ (постачання природного газу)</t>
  </si>
  <si>
    <t xml:space="preserve">
24111900-4 Кисень (кисень медичний)</t>
  </si>
  <si>
    <t xml:space="preserve"> Автоматичні дозатори рідкого мила</t>
  </si>
  <si>
    <t xml:space="preserve"> Будівельні роботи та поточний ремонт</t>
  </si>
  <si>
    <t xml:space="preserve"> Запасні частини до вантажних транспортних засобів, фургонів та легкових автомобілів</t>
  </si>
  <si>
    <t xml:space="preserve"> Пробірки</t>
  </si>
  <si>
    <t xml:space="preserve"> Продукти харчування, напої, тютюн та супутня продукція</t>
  </si>
  <si>
    <t>0007ec24e2e44dc492a2310880656bc0</t>
  </si>
  <si>
    <t>00131587</t>
  </si>
  <si>
    <t>00220061</t>
  </si>
  <si>
    <t>00492990</t>
  </si>
  <si>
    <t>0084db5091524889bcc827ff437b0138</t>
  </si>
  <si>
    <t>00ea4997edac4041ac5701d5a8f280b8</t>
  </si>
  <si>
    <t>01/107/754/20</t>
  </si>
  <si>
    <t>01/11/893/20</t>
  </si>
  <si>
    <t>01/12/1003/20</t>
  </si>
  <si>
    <t>01/12/942/20</t>
  </si>
  <si>
    <t>01/13/943/20</t>
  </si>
  <si>
    <t>0108/803/20</t>
  </si>
  <si>
    <t>0109/802/20</t>
  </si>
  <si>
    <t>0129f9554f2643a1a2c4f731fc6447d0</t>
  </si>
  <si>
    <t>0137/1038/20</t>
  </si>
  <si>
    <t>0138/1031/20</t>
  </si>
  <si>
    <t>0174f89443804a85be777652b17c6e4b</t>
  </si>
  <si>
    <t>01cfe09091a8449d854a6a2143ae1816</t>
  </si>
  <si>
    <t>01d236ebf0de4acd8e8e00edf5a52173</t>
  </si>
  <si>
    <t>01f0adf8e97a4486ab93d99a47c86dd8</t>
  </si>
  <si>
    <t>02010793</t>
  </si>
  <si>
    <t>0205ac178ad34f849df3aa76025f9ca8</t>
  </si>
  <si>
    <t>024a9f35bac34d5d819eb1abc265b740</t>
  </si>
  <si>
    <t>024bbc6aef4040658a9b741ad9c9a692</t>
  </si>
  <si>
    <t>0254ecd5b05b4a5baef2e44ec09667e8</t>
  </si>
  <si>
    <t>02568319</t>
  </si>
  <si>
    <t>0262ed0c10c341a59fc783b10ef17a98</t>
  </si>
  <si>
    <t>027f4738828b4f53bc5b0a670a62a285</t>
  </si>
  <si>
    <t>02944886</t>
  </si>
  <si>
    <t>02c71f0648454e7ebd365fa48668aa06</t>
  </si>
  <si>
    <t>03/04/2020/114/20</t>
  </si>
  <si>
    <t>03142500-3 Яйця</t>
  </si>
  <si>
    <t>03200000-3 Зернові культури, картопля, овочі, фрукти та горіхи</t>
  </si>
  <si>
    <t>03348910</t>
  </si>
  <si>
    <t>03348933</t>
  </si>
  <si>
    <t>034e5c3d02ed412cbc4f0e4062d0e77b</t>
  </si>
  <si>
    <t>037510faa6fb42408da74a1171571076</t>
  </si>
  <si>
    <t>0394ae9de67d4e32be946695277a2f75</t>
  </si>
  <si>
    <t>03daf20dd68445178157c55be5130da2</t>
  </si>
  <si>
    <t>04-14/114/208/20</t>
  </si>
  <si>
    <t>04/20-65</t>
  </si>
  <si>
    <t>04/20-65-1-186/20</t>
  </si>
  <si>
    <t>0416ad984d3a4a60a6dbf67155b06863</t>
  </si>
  <si>
    <t>04725912</t>
  </si>
  <si>
    <t>05-20-ТО/1005/20</t>
  </si>
  <si>
    <t>05529086c1b14ac18342ebeed631243d</t>
  </si>
  <si>
    <t>0557f21f067b49ed91d27afe87ceba28</t>
  </si>
  <si>
    <t>05761873</t>
  </si>
  <si>
    <t>05845e14df384fa487770147231ebbf9</t>
  </si>
  <si>
    <t>06/20-109/311/20</t>
  </si>
  <si>
    <t>06030745e84a4449a807b730775780d0</t>
  </si>
  <si>
    <t>064b1db07a17436c918029369874dab3</t>
  </si>
  <si>
    <t>0684132c8dd24ad793c638644dba069e</t>
  </si>
  <si>
    <t>06954af3efdb4c089c79e94e31aed72c</t>
  </si>
  <si>
    <t>06e126c036e947f2bc40b7815cef9fa6</t>
  </si>
  <si>
    <t>06ebb4c5ba5b4f00a49721bc19eebf5c</t>
  </si>
  <si>
    <t>06fbd8c8fa9f480e94a8630952126d43</t>
  </si>
  <si>
    <t>0709/1/572/20</t>
  </si>
  <si>
    <t>072db79700354a79b25fd8b8ab6f80e1</t>
  </si>
  <si>
    <t>077ad54858514545a177dec86b149c61</t>
  </si>
  <si>
    <t>07b30efa026847abb57850fffee1c3b0</t>
  </si>
  <si>
    <t>0822d44d921b4c4e829f7d750e1d0bbf</t>
  </si>
  <si>
    <t>088bc28db2ba41e9a1efb7dfada217f1</t>
  </si>
  <si>
    <t>08f1186a088143aa994c53cb29a54516</t>
  </si>
  <si>
    <t>09000000-3 Нафтопродукти, паливо, електроенергія та інші джерела енергії</t>
  </si>
  <si>
    <t>09123000-7 Природний газ</t>
  </si>
  <si>
    <t>09123000-7 Природний газ (постачання природного газу)</t>
  </si>
  <si>
    <t>09132000-3 Бензин</t>
  </si>
  <si>
    <t>09210000-4 Мастильні засоби</t>
  </si>
  <si>
    <t>0922a2c38cb644bf82e4dfaaa5ad6172</t>
  </si>
  <si>
    <t>09310000-5 Електрична енергія</t>
  </si>
  <si>
    <t>09320000-8 Пара, гаряча вода та пов’язана продукція</t>
  </si>
  <si>
    <t>0945e8fd6f484447942d1f97fd767b4c</t>
  </si>
  <si>
    <t>0965dbcd2a3e44d5a2988464ecbd6b03</t>
  </si>
  <si>
    <t>097fce1d8e5c4d8d84023f6dd6b069ee</t>
  </si>
  <si>
    <t>09a48368e52440a9a5b6a34cd02308fa</t>
  </si>
  <si>
    <t>0a1f42ddf62a4eb6a1a4aaabce970e0e</t>
  </si>
  <si>
    <t>0a7293ee565148f483147f10edfbaac6</t>
  </si>
  <si>
    <t>0ab24b64e57647309b9f8fc6d3ec5c0d</t>
  </si>
  <si>
    <t>0ac34640f37b467d9c4512c5f2508f3d</t>
  </si>
  <si>
    <t>0aca9c2fae38470a8eeaabed1492843e</t>
  </si>
  <si>
    <t>0ace845580d2483f88ebfa57ee31c609</t>
  </si>
  <si>
    <t>0afbb7e5680a49b080d8b617f205647b</t>
  </si>
  <si>
    <t>0b36bc756386452ba5ec49d1ac0fd3a9</t>
  </si>
  <si>
    <t>0c812d2da579486a8585c92d17b4480e</t>
  </si>
  <si>
    <t>0ce3dbd2219142ea8915819d9b77df4e</t>
  </si>
  <si>
    <t>0d52fbaeb37e4401b554d7305604d4bb</t>
  </si>
  <si>
    <t>0d5a5955a3104c1c820bc0e12d32dbdd</t>
  </si>
  <si>
    <t>0da62bc35a5a4de2a5da8c07490db11e</t>
  </si>
  <si>
    <t>0e03ccde24e842fc8a39e6b87d9078bf</t>
  </si>
  <si>
    <t>0f341a703a5c492c8beb171cd8290b26</t>
  </si>
  <si>
    <t>0f440ae184de4f07ba899d0595195689</t>
  </si>
  <si>
    <t>0fb58b98fc0f42678e5186d1c54d2183</t>
  </si>
  <si>
    <t>1/645/20</t>
  </si>
  <si>
    <t>10-80-2020/259/20</t>
  </si>
  <si>
    <t>10/20</t>
  </si>
  <si>
    <t>100/20</t>
  </si>
  <si>
    <t>1000-11/757/20</t>
  </si>
  <si>
    <t>1000-12/777/20</t>
  </si>
  <si>
    <t>1000-16/831/20</t>
  </si>
  <si>
    <t>1000-18/988/20</t>
  </si>
  <si>
    <t>1000-19/986/20</t>
  </si>
  <si>
    <t>1000-2/475/20</t>
  </si>
  <si>
    <t>1000-20/987/20</t>
  </si>
  <si>
    <t>1000-3/476/20</t>
  </si>
  <si>
    <t>1000-5/564/20</t>
  </si>
  <si>
    <t>1000-7/603/20</t>
  </si>
  <si>
    <t>1000-8/662/20</t>
  </si>
  <si>
    <t>1000-9/707/20</t>
  </si>
  <si>
    <t>1002/20</t>
  </si>
  <si>
    <t>1005/20</t>
  </si>
  <si>
    <t>1006/20</t>
  </si>
  <si>
    <t>1007/20</t>
  </si>
  <si>
    <t>1008/20</t>
  </si>
  <si>
    <t>1009/20</t>
  </si>
  <si>
    <t>101/20</t>
  </si>
  <si>
    <t>1010/20</t>
  </si>
  <si>
    <t>1012/20</t>
  </si>
  <si>
    <t>102/20</t>
  </si>
  <si>
    <t>1029/20</t>
  </si>
  <si>
    <t>103/20</t>
  </si>
  <si>
    <t>103/703/20</t>
  </si>
  <si>
    <t>1030/20</t>
  </si>
  <si>
    <t>1032/20</t>
  </si>
  <si>
    <t>1033/20</t>
  </si>
  <si>
    <t>1034/20</t>
  </si>
  <si>
    <t>1035/20</t>
  </si>
  <si>
    <t>1036/20</t>
  </si>
  <si>
    <t>1037/20</t>
  </si>
  <si>
    <t>105/20</t>
  </si>
  <si>
    <t>106/20</t>
  </si>
  <si>
    <t>107/20</t>
  </si>
  <si>
    <t>107ee177778449e4ae4c9a02f20e88b2</t>
  </si>
  <si>
    <t>108/20</t>
  </si>
  <si>
    <t>1095/1220ОА/1011/20</t>
  </si>
  <si>
    <t>1095120ОА/1011/20</t>
  </si>
  <si>
    <t>10c9d65db7c6439eabdae3944e2e685e</t>
  </si>
  <si>
    <t>11/20</t>
  </si>
  <si>
    <t>110/20</t>
  </si>
  <si>
    <t>111/20</t>
  </si>
  <si>
    <t>112/20</t>
  </si>
  <si>
    <t>112/20-ЛВ2/29/20</t>
  </si>
  <si>
    <t>113/20</t>
  </si>
  <si>
    <t>113943861e814c7bb60199be7ea8e900</t>
  </si>
  <si>
    <t>115/20</t>
  </si>
  <si>
    <t>116/20</t>
  </si>
  <si>
    <t>117/20</t>
  </si>
  <si>
    <t>117df0f12f9e4d57a3349ef2a066fb03</t>
  </si>
  <si>
    <t>118/20</t>
  </si>
  <si>
    <t>11807c3f12cc48ae8930b3711fb38ac3</t>
  </si>
  <si>
    <t>11856eb9bee04f6a9238ad0dd04c6921</t>
  </si>
  <si>
    <t>119/20</t>
  </si>
  <si>
    <t>11bbd810366c4bd5aa85d6279b590457</t>
  </si>
  <si>
    <t>12/20</t>
  </si>
  <si>
    <t>120/20</t>
  </si>
  <si>
    <t>121/20</t>
  </si>
  <si>
    <t>121/20-ЛВ2/79/20</t>
  </si>
  <si>
    <t>122/20-ЛВ2/80/20</t>
  </si>
  <si>
    <t>126/20</t>
  </si>
  <si>
    <t>12639/896/20</t>
  </si>
  <si>
    <t>127/20</t>
  </si>
  <si>
    <t>128/20</t>
  </si>
  <si>
    <t>129/20</t>
  </si>
  <si>
    <t>12a2108b5f18415d8791ff6a30cce82f</t>
  </si>
  <si>
    <t>12a66bfc521844f59c16c4dc7231f3ff</t>
  </si>
  <si>
    <t>13-1/6/20</t>
  </si>
  <si>
    <t>13/20/DRG/83/20</t>
  </si>
  <si>
    <t>130/20</t>
  </si>
  <si>
    <t>131f23506f0441778a54a513260f45cc</t>
  </si>
  <si>
    <t>133/20</t>
  </si>
  <si>
    <t>134/20</t>
  </si>
  <si>
    <t>134/878/20</t>
  </si>
  <si>
    <t>134ddb34a49d4403a2e77000c51f9be3</t>
  </si>
  <si>
    <t>136/20</t>
  </si>
  <si>
    <t>136044fec95648f7aa4c56b25e7384b2</t>
  </si>
  <si>
    <t>138/20</t>
  </si>
  <si>
    <t>13821460</t>
  </si>
  <si>
    <t>13828752</t>
  </si>
  <si>
    <t>139/20</t>
  </si>
  <si>
    <t>13b63e67209f42188a26591ae5a0b625</t>
  </si>
  <si>
    <t>13f2be160d7e49e9bbfe9e84276669ea</t>
  </si>
  <si>
    <t>13f93f7a4bad4aafae6da5f2d987f51a</t>
  </si>
  <si>
    <t>140/20</t>
  </si>
  <si>
    <t>141/20</t>
  </si>
  <si>
    <t>142/20</t>
  </si>
  <si>
    <t>14210000-6 Гравій, пісок, щебінь і наповнювачі</t>
  </si>
  <si>
    <t>143/20</t>
  </si>
  <si>
    <t>143651c39967404f94ab63d0163c7d58</t>
  </si>
  <si>
    <t>14372923</t>
  </si>
  <si>
    <t>145/20</t>
  </si>
  <si>
    <t>146/20</t>
  </si>
  <si>
    <t>14622000-7 Сталь</t>
  </si>
  <si>
    <t>147/20</t>
  </si>
  <si>
    <t>148/241/20</t>
  </si>
  <si>
    <t>14811000-9 Жорнові камені, точильні камені та круги</t>
  </si>
  <si>
    <t>149/20</t>
  </si>
  <si>
    <t>15/20</t>
  </si>
  <si>
    <t>150/20</t>
  </si>
  <si>
    <t>15000000-8 Продукти харчування, напої, тютюн та супутня продукція</t>
  </si>
  <si>
    <t>151/20</t>
  </si>
  <si>
    <t>15100000-9 Продукція тваринництва, м’ясо та м’ясопродукти</t>
  </si>
  <si>
    <t>152/20</t>
  </si>
  <si>
    <t>15220000-6 Риба, рибне філе та інше м’ясо риби морожені</t>
  </si>
  <si>
    <t>1525163dfe184816804a68a63998a891</t>
  </si>
  <si>
    <t>15251cfec1ad4432bd4fdab1bca8ef0f</t>
  </si>
  <si>
    <t>153/20</t>
  </si>
  <si>
    <t>15330000-0 Оброблені фрукти та овочі</t>
  </si>
  <si>
    <t>1539b8c85611402cbabcc6cac55d38ad</t>
  </si>
  <si>
    <t>154/20</t>
  </si>
  <si>
    <t>15400000-2 Олії та тваринні і рослинні жири</t>
  </si>
  <si>
    <t>154879bf6add4061800cb2c288966367</t>
  </si>
  <si>
    <t>155/20</t>
  </si>
  <si>
    <t>15500000-3 Молочні продукти</t>
  </si>
  <si>
    <t>156/20</t>
  </si>
  <si>
    <t>15600000-4 Продукція борошномельно-круп’яної промисловості, крохмалі та крохмалепродукти</t>
  </si>
  <si>
    <t>15610000-7 Продукція борошномельно-круп'яної промисловості</t>
  </si>
  <si>
    <t>157/20</t>
  </si>
  <si>
    <t>158/20</t>
  </si>
  <si>
    <t>15800000-6 Продукти харчування різні</t>
  </si>
  <si>
    <t>15870000-7 Заправки та приправи</t>
  </si>
  <si>
    <t>159/20</t>
  </si>
  <si>
    <t>15b738a60f174cf09790f0c04de3fab1</t>
  </si>
  <si>
    <t>15e5ccda8cda4a3aa478d2900d78b5eb</t>
  </si>
  <si>
    <t>16/20</t>
  </si>
  <si>
    <t>16/21/20</t>
  </si>
  <si>
    <t>160/318/20</t>
  </si>
  <si>
    <t>161/319/20</t>
  </si>
  <si>
    <t>161e6bd735ba4b62a1aedec7d91c7728</t>
  </si>
  <si>
    <t>162/20</t>
  </si>
  <si>
    <t>162/316/20</t>
  </si>
  <si>
    <t>163/20</t>
  </si>
  <si>
    <t>163/317/20</t>
  </si>
  <si>
    <t>164/20</t>
  </si>
  <si>
    <t>1652802beae84c7c9cb72ded36cfd79d</t>
  </si>
  <si>
    <t>168/20</t>
  </si>
  <si>
    <t>16800000-3 Частини для сільськогосподарської та лісогосподарської техніки</t>
  </si>
  <si>
    <t>17/1001/20</t>
  </si>
  <si>
    <t>170/20</t>
  </si>
  <si>
    <t>172/20</t>
  </si>
  <si>
    <t>1729c3a8db574ac59ef63063ca55ab58</t>
  </si>
  <si>
    <t>173a11cba6154421a0267e0f8f5b9796</t>
  </si>
  <si>
    <t>173e8fb59ec84f2db10f7d7bd2773ff3</t>
  </si>
  <si>
    <t>174/20</t>
  </si>
  <si>
    <t>175/20</t>
  </si>
  <si>
    <t>176/20</t>
  </si>
  <si>
    <t>178/20</t>
  </si>
  <si>
    <t>1784 "Г"/212/20</t>
  </si>
  <si>
    <t>1784 "Т"/402/20</t>
  </si>
  <si>
    <t>1784 "Т"/590/20</t>
  </si>
  <si>
    <t>1784"Г"/22/20</t>
  </si>
  <si>
    <t>1784"Г"/492/20</t>
  </si>
  <si>
    <t>1784"Г"/828/20</t>
  </si>
  <si>
    <t>1784"Т"/213/20</t>
  </si>
  <si>
    <t>1784"Т"/857/20</t>
  </si>
  <si>
    <t>1784"Т"23/20</t>
  </si>
  <si>
    <t>1784/532/20</t>
  </si>
  <si>
    <t>1784/537/20</t>
  </si>
  <si>
    <t>1784/538/20</t>
  </si>
  <si>
    <t>1784/Т/533/20</t>
  </si>
  <si>
    <t>1789863315</t>
  </si>
  <si>
    <t>1790d4f3c8d0452cb8887cf149b9ddd1</t>
  </si>
  <si>
    <t>18/20</t>
  </si>
  <si>
    <t>181/20</t>
  </si>
  <si>
    <t>18140000-2 Аксесуари до робочого одягу</t>
  </si>
  <si>
    <t>18141000-9 Робочі рукавиці</t>
  </si>
  <si>
    <t>182/20</t>
  </si>
  <si>
    <t>183/20</t>
  </si>
  <si>
    <t>183ca9283f6b45d89a5470773f6bb4bc</t>
  </si>
  <si>
    <t>184/20</t>
  </si>
  <si>
    <t>18400000-3 Спеціальний одяг та аксесуари</t>
  </si>
  <si>
    <t>185/20</t>
  </si>
  <si>
    <t>185/485/20</t>
  </si>
  <si>
    <t>187/20</t>
  </si>
  <si>
    <t>188/20</t>
  </si>
  <si>
    <t>18810000-0 Взуття різне, крім спортивного та захисного</t>
  </si>
  <si>
    <t>189/20</t>
  </si>
  <si>
    <t>1894410920</t>
  </si>
  <si>
    <t>19/20</t>
  </si>
  <si>
    <t>19/20DRG/124/20</t>
  </si>
  <si>
    <t>19/36/20</t>
  </si>
  <si>
    <t>190/20</t>
  </si>
  <si>
    <t>1906820519</t>
  </si>
  <si>
    <t>191/20</t>
  </si>
  <si>
    <t>192/20</t>
  </si>
  <si>
    <t>19240000-0 Спеціальні тканини</t>
  </si>
  <si>
    <t>194/20</t>
  </si>
  <si>
    <t>195/344/20</t>
  </si>
  <si>
    <t>19511000-1 Гумові пневматичні шини, протектори та ободові стрічки</t>
  </si>
  <si>
    <t>19511000-1 Гумові пневматичні шини, протектори та ободові стрічки (шини)</t>
  </si>
  <si>
    <t>1958301441</t>
  </si>
  <si>
    <t>19640000-4 Поліетиленові мішки та пакети для сміття</t>
  </si>
  <si>
    <t>197/20</t>
  </si>
  <si>
    <t>197/371/20</t>
  </si>
  <si>
    <t>198/20</t>
  </si>
  <si>
    <t>198/405/20</t>
  </si>
  <si>
    <t>1988-11-12/731/20</t>
  </si>
  <si>
    <t>1989-14/732/20</t>
  </si>
  <si>
    <t>198cf7955e924c948dc7114cb89175e1</t>
  </si>
  <si>
    <t>199/20</t>
  </si>
  <si>
    <t>199619c1e0994f51a183d800e1d37860</t>
  </si>
  <si>
    <t>19fe9da6084043dea96aeb2821422781</t>
  </si>
  <si>
    <t>1a39bf51049b425abcf81ec9112da5bd</t>
  </si>
  <si>
    <t>1a6f613dfa914d9ca3a81dbc1f942197</t>
  </si>
  <si>
    <t>1ae0b110fd274508bb4336424824050d</t>
  </si>
  <si>
    <t>1b00ed4879e441eaaecae2ce6c5b63ec</t>
  </si>
  <si>
    <t>1b40994511aa4b7caecbd2e8becd6763</t>
  </si>
  <si>
    <t>1b516cc6ed034c58a9d99495eb48fb96</t>
  </si>
  <si>
    <t>1b95d23e2ed74774aed92d92d93a1828</t>
  </si>
  <si>
    <t>1bc1113ba18c4b22830af8142921831b</t>
  </si>
  <si>
    <t>1bee34b5fd3241dbad1fe8e6f991dc11</t>
  </si>
  <si>
    <t>1c170125242d49d78a6bb8fc47df90bd</t>
  </si>
  <si>
    <t>1c5c63abf6964bce861a5af5652c58fc</t>
  </si>
  <si>
    <t>1ca111380b1d4e4eba46f887057ee938</t>
  </si>
  <si>
    <t>1cd2aa7dc8744078ba0fee20acec7729</t>
  </si>
  <si>
    <t>1cf2aeef83894963a2b3f8800889204c</t>
  </si>
  <si>
    <t>1d0548867d1d4842948381416b25db63</t>
  </si>
  <si>
    <t>1e0b153b38bc47abb66e519377144796</t>
  </si>
  <si>
    <t>1e128b822bbc4ff38d74319fdb227e4f</t>
  </si>
  <si>
    <t>1e6abb4d4eaa4592bc6a0d1d70382a19</t>
  </si>
  <si>
    <t>1e6af380a58141da8ebf20472f9fcbc8</t>
  </si>
  <si>
    <t>1e88295da5174fd786b279e41f4de9b9</t>
  </si>
  <si>
    <t>1ec258389d904a699721c0e3b11efac9</t>
  </si>
  <si>
    <t>1eee6f95c64a4491ac58b152a3828e18</t>
  </si>
  <si>
    <t>1f201cd4603b4426aac7071c4ea17d5e</t>
  </si>
  <si>
    <t>1f40fe513bcf409584937fb8b040fc9f</t>
  </si>
  <si>
    <t>1fbe30c1b3464b7fa781a6c0248ebcbb</t>
  </si>
  <si>
    <t>1fbfc59362a94516a62a16d3ff12a952</t>
  </si>
  <si>
    <t>1ffaa8aee6ba43ee9907f10171871102</t>
  </si>
  <si>
    <t>2 СПЕЦІАЛЬНИЙ  ЦЕНТР ШВИДКОГО РЕАГУВАННЯ ДЕРЖАВНОЇ СЛУЖБИ УКРАЇНИ З НАДЗВИЧАЙНИХ СИТУАЦІЙ</t>
  </si>
  <si>
    <t>2/3/20</t>
  </si>
  <si>
    <t>2/368/20</t>
  </si>
  <si>
    <t>20-15688-ЛВ3-0502/851/20</t>
  </si>
  <si>
    <t>20-269/1/166/20</t>
  </si>
  <si>
    <t>20/37/20</t>
  </si>
  <si>
    <t>200/20</t>
  </si>
  <si>
    <t>200/20-ЛВ2/161/20</t>
  </si>
  <si>
    <t>20048339</t>
  </si>
  <si>
    <t>201/20</t>
  </si>
  <si>
    <t>201/20-ЛВ2/160/20</t>
  </si>
  <si>
    <t>2016723220</t>
  </si>
  <si>
    <t>202/20</t>
  </si>
  <si>
    <t>20223856/1004/20</t>
  </si>
  <si>
    <t>203/20</t>
  </si>
  <si>
    <t>203/20-ЛВ2/169/20</t>
  </si>
  <si>
    <t>2036709764</t>
  </si>
  <si>
    <t>204/20</t>
  </si>
  <si>
    <t>205/20</t>
  </si>
  <si>
    <t>205/20-ЛВ2/195/20</t>
  </si>
  <si>
    <t>205f5ab2a5c049ca98a592623d4a18e1</t>
  </si>
  <si>
    <t>206/20</t>
  </si>
  <si>
    <t>207/20</t>
  </si>
  <si>
    <t>20762344</t>
  </si>
  <si>
    <t>20774790</t>
  </si>
  <si>
    <t>20775105</t>
  </si>
  <si>
    <t>2082119568</t>
  </si>
  <si>
    <t>209/20</t>
  </si>
  <si>
    <t>209/20-ЛВ2/229/20</t>
  </si>
  <si>
    <t>209/470/20</t>
  </si>
  <si>
    <t>20c5bfb6b5fb41e1851a4ad9d971267b</t>
  </si>
  <si>
    <t>210/20</t>
  </si>
  <si>
    <t>210/20-ЛВ2/230/20</t>
  </si>
  <si>
    <t>210a2db6a0b341a19b7c09b075af7bb7</t>
  </si>
  <si>
    <t>211/20</t>
  </si>
  <si>
    <t>2113408b92b3412783b3d0191eb27185</t>
  </si>
  <si>
    <t>214/20</t>
  </si>
  <si>
    <t>215/20</t>
  </si>
  <si>
    <t>21560766</t>
  </si>
  <si>
    <t>216/20</t>
  </si>
  <si>
    <t>21633086</t>
  </si>
  <si>
    <t>2163718659</t>
  </si>
  <si>
    <t>217/20</t>
  </si>
  <si>
    <t>218/20</t>
  </si>
  <si>
    <t>218/488/20</t>
  </si>
  <si>
    <t>2182908257</t>
  </si>
  <si>
    <t>218857ed2cad4207b1bc852a8b874a86</t>
  </si>
  <si>
    <t>219/20</t>
  </si>
  <si>
    <t>219/536/20</t>
  </si>
  <si>
    <t>21d3e45e87334882b19e99d909328ff3</t>
  </si>
  <si>
    <t>220/20</t>
  </si>
  <si>
    <t>22000000-0 Друкована та супутня продукція</t>
  </si>
  <si>
    <t>22000000-0 Друкована та супутня продукція (медичні бланки)</t>
  </si>
  <si>
    <t>2200001264</t>
  </si>
  <si>
    <t>221/20</t>
  </si>
  <si>
    <t>221f4700d6904d1ba775dda12efee981</t>
  </si>
  <si>
    <t>222/20</t>
  </si>
  <si>
    <t>22200000-2 Газети, періодичні спеціалізовані та інші періодичні видання і журнали</t>
  </si>
  <si>
    <t>2220617311</t>
  </si>
  <si>
    <t>223/20</t>
  </si>
  <si>
    <t>22342913</t>
  </si>
  <si>
    <t>22372423</t>
  </si>
  <si>
    <t>224/20-ЛВ2/345/20</t>
  </si>
  <si>
    <t>225/20-ЛВ2/346/20</t>
  </si>
  <si>
    <t>2269/14/20</t>
  </si>
  <si>
    <t>2276501319</t>
  </si>
  <si>
    <t>22800000-8 Паперові чи картонні реєстраційні журнали, бухгалтерські книги, швидкозшивачі, бланки та інші паперові канцелярські вироби</t>
  </si>
  <si>
    <t>22820000-4 Бланки</t>
  </si>
  <si>
    <t>2284113833</t>
  </si>
  <si>
    <t>22850000-3 Швидкозшивачі та супутнє приладдя</t>
  </si>
  <si>
    <t>229/20-ЛВ2/359/20</t>
  </si>
  <si>
    <t>22900000-9 Друкована продукція різна</t>
  </si>
  <si>
    <t>22cc2a8823644c96adc96ab0faaeca0c</t>
  </si>
  <si>
    <t>22ffad4c96b942de8c101078b88fab75</t>
  </si>
  <si>
    <t>230/608/20</t>
  </si>
  <si>
    <t>2300ed6fa3b04c788ec5b44496fbdc9a</t>
  </si>
  <si>
    <t>230239a06e2b4d7e8e55ff86f206d83c</t>
  </si>
  <si>
    <t>231/20</t>
  </si>
  <si>
    <t>231/20-ЛВ2/387/20</t>
  </si>
  <si>
    <t>232/20</t>
  </si>
  <si>
    <t>232/20-ЛВ2/386/20</t>
  </si>
  <si>
    <t>233/20</t>
  </si>
  <si>
    <t>233/20-ЛВ2/392/20</t>
  </si>
  <si>
    <t>234/20</t>
  </si>
  <si>
    <t>2344009534</t>
  </si>
  <si>
    <t>2345802567</t>
  </si>
  <si>
    <t>235/20</t>
  </si>
  <si>
    <t>235d4b7243cd440cb89b1f9af7c4b0d2</t>
  </si>
  <si>
    <t>236/20</t>
  </si>
  <si>
    <t>2364010746</t>
  </si>
  <si>
    <t>237/20</t>
  </si>
  <si>
    <t>238/20</t>
  </si>
  <si>
    <t>238/20-ЛВ2/477/20</t>
  </si>
  <si>
    <t>23882505</t>
  </si>
  <si>
    <t>238f17cdee0e41adb0c29ee7a3d85bdb</t>
  </si>
  <si>
    <t>239/20</t>
  </si>
  <si>
    <t>239/20-ЛВ2/494/20</t>
  </si>
  <si>
    <t>23b224e7ee984f3c88135d5307a04e1b</t>
  </si>
  <si>
    <t>23b5bdd2cb5345e09c6c01db00861016</t>
  </si>
  <si>
    <t>24/20</t>
  </si>
  <si>
    <t>24/20DRG/148/20</t>
  </si>
  <si>
    <t>240/20</t>
  </si>
  <si>
    <t>2407707529</t>
  </si>
  <si>
    <t>24111900-4 Кисень</t>
  </si>
  <si>
    <t>24111900-4 Кисень (кисень медичний)</t>
  </si>
  <si>
    <t>242/20</t>
  </si>
  <si>
    <t>24320000-3 Основні органічні хімічні речовини</t>
  </si>
  <si>
    <t>24322510-5 Етиловий спирт</t>
  </si>
  <si>
    <t>244/643/20</t>
  </si>
  <si>
    <t>24450000-3 Агрохімічна продукція</t>
  </si>
  <si>
    <t>24455000-8 Дезинфекційні засоби</t>
  </si>
  <si>
    <t>244fe05775204b629f66eaa092f757c6</t>
  </si>
  <si>
    <t>245/640/20</t>
  </si>
  <si>
    <t>24590000-6 Силікони у первинній формі</t>
  </si>
  <si>
    <t>246/644/20</t>
  </si>
  <si>
    <t>2460400554</t>
  </si>
  <si>
    <t>2466009270</t>
  </si>
  <si>
    <t>2484213510</t>
  </si>
  <si>
    <t>2486402127</t>
  </si>
  <si>
    <t>24910000-6 Клеї</t>
  </si>
  <si>
    <t>2491d21e6e5e4f6d9af45e3bf18422c0</t>
  </si>
  <si>
    <t>24930000-2 Фотохімікати</t>
  </si>
  <si>
    <t>24950000-8 Спеціалізована хімічна продукція</t>
  </si>
  <si>
    <t>24b6e42ebcad4de4b24c3e81ae26c517</t>
  </si>
  <si>
    <t>251120Р/939/20</t>
  </si>
  <si>
    <t>2517710117</t>
  </si>
  <si>
    <t>252/20</t>
  </si>
  <si>
    <t>2521406579</t>
  </si>
  <si>
    <t>253/20</t>
  </si>
  <si>
    <t>253/20-ЛВ2/544/20</t>
  </si>
  <si>
    <t>254/20</t>
  </si>
  <si>
    <t>2546002144</t>
  </si>
  <si>
    <t>255/20</t>
  </si>
  <si>
    <t>256/20</t>
  </si>
  <si>
    <t>25645d0dc2b54fcda50e69c054fadb2a</t>
  </si>
  <si>
    <t>257/20</t>
  </si>
  <si>
    <t>258/20</t>
  </si>
  <si>
    <t>258/726/20</t>
  </si>
  <si>
    <t>25887dc516104b219b799cc09b35a61b</t>
  </si>
  <si>
    <t>259/727/20</t>
  </si>
  <si>
    <t>2594507816</t>
  </si>
  <si>
    <t>26/20</t>
  </si>
  <si>
    <t>260/20</t>
  </si>
  <si>
    <t>2601-1/383/20</t>
  </si>
  <si>
    <t>2608219515</t>
  </si>
  <si>
    <t>260c1698da2f4208a3588e66e33a1cc2</t>
  </si>
  <si>
    <t>261/20</t>
  </si>
  <si>
    <t>262/20</t>
  </si>
  <si>
    <t>262/20-ЛВ/576/20</t>
  </si>
  <si>
    <t>263/20</t>
  </si>
  <si>
    <t>263/20-ЛВ/575/20</t>
  </si>
  <si>
    <t>2631507912</t>
  </si>
  <si>
    <t>2638109123</t>
  </si>
  <si>
    <t>264/20</t>
  </si>
  <si>
    <t>265/020</t>
  </si>
  <si>
    <t>265/724/20</t>
  </si>
  <si>
    <t>2659d6553ab74e758648fbb4ee253c4d</t>
  </si>
  <si>
    <t>2659f29abc924ce083d5ddfdb1f452ae</t>
  </si>
  <si>
    <t>266/20</t>
  </si>
  <si>
    <t>2666113443</t>
  </si>
  <si>
    <t>266c1eb91b5e4ab293b16f64d2e0994d</t>
  </si>
  <si>
    <t>267/20</t>
  </si>
  <si>
    <t>268/20</t>
  </si>
  <si>
    <t>2687411770</t>
  </si>
  <si>
    <t>269/20</t>
  </si>
  <si>
    <t>26abd26fa1b846c4bbceff93e3ae155d</t>
  </si>
  <si>
    <t>27/20</t>
  </si>
  <si>
    <t>270/20</t>
  </si>
  <si>
    <t>2703607976</t>
  </si>
  <si>
    <t>2713415855</t>
  </si>
  <si>
    <t>272/20</t>
  </si>
  <si>
    <t>273/20</t>
  </si>
  <si>
    <t>273/770/20</t>
  </si>
  <si>
    <t>2734905391</t>
  </si>
  <si>
    <t>274/20</t>
  </si>
  <si>
    <t>275/20</t>
  </si>
  <si>
    <t>2753207119</t>
  </si>
  <si>
    <t>276/20</t>
  </si>
  <si>
    <t>2764112067</t>
  </si>
  <si>
    <t>277/20</t>
  </si>
  <si>
    <t>277/887/20</t>
  </si>
  <si>
    <t>278/20</t>
  </si>
  <si>
    <t>278/888/20</t>
  </si>
  <si>
    <t>279/20</t>
  </si>
  <si>
    <t>27a1522b5c0e4d969ff473ce7db562f4</t>
  </si>
  <si>
    <t>27eb392491f44dc891b2ebdb59ac7380</t>
  </si>
  <si>
    <t>28/20</t>
  </si>
  <si>
    <t>28/20DRG/167/20</t>
  </si>
  <si>
    <t>280/20</t>
  </si>
  <si>
    <t>2806617432</t>
  </si>
  <si>
    <t>281/20</t>
  </si>
  <si>
    <t>281/771/20</t>
  </si>
  <si>
    <t>282/20</t>
  </si>
  <si>
    <t>283/20</t>
  </si>
  <si>
    <t>283/772/20</t>
  </si>
  <si>
    <t>2838605346</t>
  </si>
  <si>
    <t>284/20</t>
  </si>
  <si>
    <t>285/20</t>
  </si>
  <si>
    <t>286/20</t>
  </si>
  <si>
    <t>2860106954</t>
  </si>
  <si>
    <t>2867721789</t>
  </si>
  <si>
    <t>2874888fe696443f9eb95904fafa5a44</t>
  </si>
  <si>
    <t>2877109054</t>
  </si>
  <si>
    <t>288/20</t>
  </si>
  <si>
    <t>2897213531</t>
  </si>
  <si>
    <t>28a8029d4efa4c68b94ccb4049e66bf9</t>
  </si>
  <si>
    <t>290/20</t>
  </si>
  <si>
    <t>291/20</t>
  </si>
  <si>
    <t>291/827/20</t>
  </si>
  <si>
    <t>292/20-ЛВ2/692/20</t>
  </si>
  <si>
    <t>2928000493</t>
  </si>
  <si>
    <t>293/20</t>
  </si>
  <si>
    <t>2936b9d925b34ee9a3a1631ea65cbb12</t>
  </si>
  <si>
    <t>2938703182</t>
  </si>
  <si>
    <t>293a6528e987432ba54847aa53d46759</t>
  </si>
  <si>
    <t>293c2985aca045109804d9b0a464af8b</t>
  </si>
  <si>
    <t>293cef7a8c8c4f2d80bdfe6e964bc74c</t>
  </si>
  <si>
    <t>294/20</t>
  </si>
  <si>
    <t>295/20</t>
  </si>
  <si>
    <t>295/20-ЛВ/708/20</t>
  </si>
  <si>
    <t>296/20</t>
  </si>
  <si>
    <t>297/20</t>
  </si>
  <si>
    <t>298/20</t>
  </si>
  <si>
    <t>299/20</t>
  </si>
  <si>
    <t>29c557eb3efc4febab868b665d918924</t>
  </si>
  <si>
    <t>2a2b0989237a4bcb9bcf4e5162b7d77f</t>
  </si>
  <si>
    <t>2a323e72de774eb18dfb3adab5b4a176</t>
  </si>
  <si>
    <t>2a570c4c85cf4409b1445709be344433</t>
  </si>
  <si>
    <t>2ab805bbbb58447ebb61886e57608f52</t>
  </si>
  <si>
    <t>2b9eccce2bf64f97afde703b06393c7f</t>
  </si>
  <si>
    <t>2bf4f209b97e41b4966437ba492a0851</t>
  </si>
  <si>
    <t>2c592e95579445fc82f28488246b71ea</t>
  </si>
  <si>
    <t>2c6f2173965847ccb146d41ccc6fb4e4</t>
  </si>
  <si>
    <t>2c8de2559c844cf3a9263137c72f966a</t>
  </si>
  <si>
    <t>2cb0644edad046308c6e29bbd5e775fc</t>
  </si>
  <si>
    <t>2d12d29af7384a32b7347ef98aab1cfa</t>
  </si>
  <si>
    <t>2d694c3fd80f48798b62268120676479</t>
  </si>
  <si>
    <t>2d6df2c4bf3d467ca4e41fa2d735ee3d</t>
  </si>
  <si>
    <t>2d77e3f7e116450fb3ad63ae9835c799</t>
  </si>
  <si>
    <t>2d7947c0fd134bb0b9959d586fdaf0e8</t>
  </si>
  <si>
    <t>2d901ddd5bfa45eeb8388e04eebabc6e</t>
  </si>
  <si>
    <t>2da95336f3a64821a3c53aac302f9990</t>
  </si>
  <si>
    <t>2e60117420c64a5b834cf6cec04315c6</t>
  </si>
  <si>
    <t>2ee9040e79ea4c5bad68649b8252b654</t>
  </si>
  <si>
    <t>2ef5aefe26e3421ab059322196f01674</t>
  </si>
  <si>
    <t>2fce05989c2d4020b806c646d3e0f7b9</t>
  </si>
  <si>
    <t>3/25/20</t>
  </si>
  <si>
    <t>3/621/20</t>
  </si>
  <si>
    <t>3/622/20</t>
  </si>
  <si>
    <t>3/728/20</t>
  </si>
  <si>
    <t>30/20DRG/173/20</t>
  </si>
  <si>
    <t>30/Т/9/20</t>
  </si>
  <si>
    <t>300/20</t>
  </si>
  <si>
    <t>30084713</t>
  </si>
  <si>
    <t>301/20</t>
  </si>
  <si>
    <t>30120000-6 Фотокопіювальне та поліграфічне обладнання для офсетного друку</t>
  </si>
  <si>
    <t>30120000-6 Фотокопіювальне та поліграфічне обладнання для офсетного друку (картридж до принтера Canon 725)</t>
  </si>
  <si>
    <t>30125100-2 Картриджі з тонером</t>
  </si>
  <si>
    <t>30163496</t>
  </si>
  <si>
    <t>30190000-7 Офісне устаткування та приладдя різне</t>
  </si>
  <si>
    <t>30190000-7 Офісне устаткування та приладдя різне (таблички)</t>
  </si>
  <si>
    <t>30192700-8 Канцелярські товари</t>
  </si>
  <si>
    <t>30197630-1 Папір для друку</t>
  </si>
  <si>
    <t>30197630-1 Папір для друку (кардіопапір)</t>
  </si>
  <si>
    <t>301a2f271aaa414ba73949d145b24aa5</t>
  </si>
  <si>
    <t>302/20</t>
  </si>
  <si>
    <t>30200000-1 Комп’ютерне обладнання та приладдя</t>
  </si>
  <si>
    <t>30210000-4 Машини для обробки даних (апаратна частина)</t>
  </si>
  <si>
    <t>30230000-0 Комп’ютерне обладнання</t>
  </si>
  <si>
    <t>30234600-4 Флеш-пам’ять</t>
  </si>
  <si>
    <t>303/20</t>
  </si>
  <si>
    <t>3035/104/20</t>
  </si>
  <si>
    <t>3035/46/20</t>
  </si>
  <si>
    <t>3035/998/20</t>
  </si>
  <si>
    <t>304/20</t>
  </si>
  <si>
    <t>305/20</t>
  </si>
  <si>
    <t>306/20</t>
  </si>
  <si>
    <t>3066202807</t>
  </si>
  <si>
    <t>3069c08f6f8d49438874c11a4fe0d965</t>
  </si>
  <si>
    <t>307/20</t>
  </si>
  <si>
    <t>3075513314</t>
  </si>
  <si>
    <t>3075612038</t>
  </si>
  <si>
    <t>30765625</t>
  </si>
  <si>
    <t>3077012283</t>
  </si>
  <si>
    <t>308/20</t>
  </si>
  <si>
    <t>309/20</t>
  </si>
  <si>
    <t>30d50fe071e64bb1b32e3ba731072f7d</t>
  </si>
  <si>
    <t>31/20</t>
  </si>
  <si>
    <t>31/20DRG/165/20</t>
  </si>
  <si>
    <t>31000000-6 Електротехнічне устаткування, апаратура, обладнання та матеріали; освітлювальне устаткування</t>
  </si>
  <si>
    <t>31000000-6 Електротехнічне устаткування, апаратура, обладнання та матеріали; освітлювальне устаткування (тепловентилятори, батарейки, чайник-термос, ліхтар)</t>
  </si>
  <si>
    <t>31120000-3 Генератори</t>
  </si>
  <si>
    <t>31120000-3 Мініелектростанція інверторна</t>
  </si>
  <si>
    <t>3116614217</t>
  </si>
  <si>
    <t>312/20</t>
  </si>
  <si>
    <t>31210000-1 Електрична апаратура для комутування та захисту електричних кіл</t>
  </si>
  <si>
    <t>31220000-4 Елементи електричних схем</t>
  </si>
  <si>
    <t>31264010</t>
  </si>
  <si>
    <t>313/20</t>
  </si>
  <si>
    <t>31320000-5 Електророзподільні кабелі</t>
  </si>
  <si>
    <t>314/20</t>
  </si>
  <si>
    <t>31410000-3 Гальванічні елементи</t>
  </si>
  <si>
    <t>31430000-9 Електричні акумулятори</t>
  </si>
  <si>
    <t>3145006558</t>
  </si>
  <si>
    <t>31487471</t>
  </si>
  <si>
    <t>315/20</t>
  </si>
  <si>
    <t>31510000-4 Електричні лампи розжарення</t>
  </si>
  <si>
    <t>31520000-7 Світильники та освітлювальна арматура</t>
  </si>
  <si>
    <t>31521100-5 Настільні світильники</t>
  </si>
  <si>
    <t>3154413735</t>
  </si>
  <si>
    <t>3156616092</t>
  </si>
  <si>
    <t>315f85856b164354b6ae64de9d1f2b62</t>
  </si>
  <si>
    <t>31651000-4 Електроізоляційна стрічка</t>
  </si>
  <si>
    <t>31731000-9 Електротехнічне приладдя</t>
  </si>
  <si>
    <t>3177517872</t>
  </si>
  <si>
    <t>3178bbdeab774e8090c613370f4ec079</t>
  </si>
  <si>
    <t>317f1e0f2145462dbca91788188a30ea</t>
  </si>
  <si>
    <t>3198505635</t>
  </si>
  <si>
    <t>31ad35749aa748d78b28f9814635763e</t>
  </si>
  <si>
    <t>31ba9a3d22da4df39f11771323719648</t>
  </si>
  <si>
    <t>31c4462133fb43688ee3d7478b074ce2</t>
  </si>
  <si>
    <t>31cadd1e441e481cbc7efead0f83aec6</t>
  </si>
  <si>
    <t>320/20</t>
  </si>
  <si>
    <t>320ca2ea8f284db6a4df6ee964df3807</t>
  </si>
  <si>
    <t>321/20</t>
  </si>
  <si>
    <t>3217118019</t>
  </si>
  <si>
    <t>322/20</t>
  </si>
  <si>
    <t>323/20</t>
  </si>
  <si>
    <t>323/20-ЛВ/814/20</t>
  </si>
  <si>
    <t>32324000-0 Телевізори</t>
  </si>
  <si>
    <t>32350000-1 Частини до аудіо- та відеообладнання</t>
  </si>
  <si>
    <t>32354110-3 Рентгенівська плівка</t>
  </si>
  <si>
    <t>32354110-3 Рентгенівська плівка та фіксаж для ручної обробки рентгенівської плівки</t>
  </si>
  <si>
    <t>324/20</t>
  </si>
  <si>
    <t>324/911/20</t>
  </si>
  <si>
    <t>32420000-3 Мережеве обладнання</t>
  </si>
  <si>
    <t>32490244</t>
  </si>
  <si>
    <t>325/20</t>
  </si>
  <si>
    <t>32580000-2 Інформаційне обладнання</t>
  </si>
  <si>
    <t>32599920</t>
  </si>
  <si>
    <t>326/20</t>
  </si>
  <si>
    <t>327/20</t>
  </si>
  <si>
    <t>32712114</t>
  </si>
  <si>
    <t>32713212</t>
  </si>
  <si>
    <t>328/20</t>
  </si>
  <si>
    <t>3285904938</t>
  </si>
  <si>
    <t>3287602dd1294c40825f8ff57021dced</t>
  </si>
  <si>
    <t>3294000972</t>
  </si>
  <si>
    <t>3297903158</t>
  </si>
  <si>
    <t>32e708245565437786a682ea2cd3c62a</t>
  </si>
  <si>
    <t>33/20</t>
  </si>
  <si>
    <t>33006821</t>
  </si>
  <si>
    <t>33110000-4 Візуалізаційне обладнання для потреб медицини, стоматології та ветеринарної медицини</t>
  </si>
  <si>
    <t>33120000-7 Системи реєстрації медичної інформації та дослідне обладнання</t>
  </si>
  <si>
    <t>33120000-7 – Системи реєстрації медичної інформації та дослідне обладнання (Швидкий тест для виявлення антигенів вірусу грипу CITO TEST Influenza A+B)</t>
  </si>
  <si>
    <t>33140000-3 Медичні матеріали</t>
  </si>
  <si>
    <t>33141310-6 Шприци</t>
  </si>
  <si>
    <t>33141310-6 Шприци та інші медичні матеріали</t>
  </si>
  <si>
    <t>33150000-6 Апаратура для радіотерапії, механотерапії, електротерапії та фізичної терапії</t>
  </si>
  <si>
    <t>33151000-3 Радіотерапевтичні апарати та приладдя</t>
  </si>
  <si>
    <t>33157110-9 Кисневі маски</t>
  </si>
  <si>
    <t>33157800-3 Киснеподавальні пристрої</t>
  </si>
  <si>
    <t>33160000-9 Устаткування для операційних блоків</t>
  </si>
  <si>
    <t>33162200-5 Інструменти для операційних блоків</t>
  </si>
  <si>
    <t>33169300-5 Хірургічні лотки</t>
  </si>
  <si>
    <t>33170000-2 Обладнання для анестезії та реанімації</t>
  </si>
  <si>
    <t>33171300-2 Набори чи комплекти для епідуральної анестезії</t>
  </si>
  <si>
    <t>33190000-8 Медичне обладнання та вироби мед. призначення різні (термометри інфрачервоні безконтактні)</t>
  </si>
  <si>
    <t>33190000-8 Медичне обладнання та вироби медичного призначення різні</t>
  </si>
  <si>
    <t>33190000-8 Медичне обладнання та вироби медичного призначення різні (костюми біологічного захисту)</t>
  </si>
  <si>
    <t>33190000-8 Медичне обладнання та вироби медичного призначення різні (термометри інфрачервоні безконтактні)</t>
  </si>
  <si>
    <t>33190000-8 Медичне обладнання та вироби медичного призначення різні (штатив для довготривалих вливань Євро ШДВ-Е)</t>
  </si>
  <si>
    <t>33192500-7 Пробірки</t>
  </si>
  <si>
    <t>33195452</t>
  </si>
  <si>
    <t>33199000-1 Одяг для медичного персоналу</t>
  </si>
  <si>
    <t>332/20</t>
  </si>
  <si>
    <t>33213/2020/72/20</t>
  </si>
  <si>
    <t>332459e0f1c74792a0fda509a9b0245a</t>
  </si>
  <si>
    <t>3328403164</t>
  </si>
  <si>
    <t>333157184410442cbeb83c77459efadf</t>
  </si>
  <si>
    <t>334f85309d2c47ae9609113855405522</t>
  </si>
  <si>
    <t>33542497</t>
  </si>
  <si>
    <t>336/20</t>
  </si>
  <si>
    <t>33600000-6 Фармацевтична продукція</t>
  </si>
  <si>
    <t>33600000-6 Фармацевтична продукція (медикаменти)</t>
  </si>
  <si>
    <t>33600000-6 Фармацевтична продукція та інші вироби медичного призначення</t>
  </si>
  <si>
    <t>33602426</t>
  </si>
  <si>
    <t>33667438</t>
  </si>
  <si>
    <t>33680000-0 Фармацевтичні вироби</t>
  </si>
  <si>
    <t>33690000-3 Лікарські засоби різні</t>
  </si>
  <si>
    <t>33692000-7 Медичні розчини</t>
  </si>
  <si>
    <t>33695000-8 Продукція медичного призначення, крім лікарських засобів</t>
  </si>
  <si>
    <t>33696000-5 Реактиви та контрастні речовини</t>
  </si>
  <si>
    <t>33696200-7 Реактиви для аналізів крові</t>
  </si>
  <si>
    <t>33697000-2 Медичні препарати, крім стоматологічних матеріалів</t>
  </si>
  <si>
    <t xml:space="preserve">33697000-2 Медичні препарати, крім стоматологічних матеріалів
</t>
  </si>
  <si>
    <t>337/20</t>
  </si>
  <si>
    <t>33700000-7 Засоби особистої гігієни</t>
  </si>
  <si>
    <t>33711000-7 Парфуми та засоби гігієни</t>
  </si>
  <si>
    <t>33711900-6 Мило</t>
  </si>
  <si>
    <t>33741000-6 Засоби для догляду за руками</t>
  </si>
  <si>
    <t>33741100-7 Засоби для миття рук</t>
  </si>
  <si>
    <t>33750000-2 Засоби для догляду за малюками</t>
  </si>
  <si>
    <t>33760000-5 Туалетний папір, носові хустинки, рушники для рук і серветки</t>
  </si>
  <si>
    <t>338/20</t>
  </si>
  <si>
    <t>339/20</t>
  </si>
  <si>
    <t>33968732</t>
  </si>
  <si>
    <t>33972000-4 Мішки для моргів</t>
  </si>
  <si>
    <t>33b4027efb584c57bdf2824894248ea0</t>
  </si>
  <si>
    <t>33bed2b259994bc5909391a6c7efe777</t>
  </si>
  <si>
    <t>33cb725eb3a34aacad67816944efbb37</t>
  </si>
  <si>
    <t>33cfb5d708954175bd9adc88534dbda2</t>
  </si>
  <si>
    <t>33f9610e26d64f4facd004a5c3e34a09</t>
  </si>
  <si>
    <t>34/20</t>
  </si>
  <si>
    <t>340/20</t>
  </si>
  <si>
    <t>341/20</t>
  </si>
  <si>
    <t>34119262</t>
  </si>
  <si>
    <t>341b1446ecea4e4eb452f3a1434394c5</t>
  </si>
  <si>
    <t>342/20</t>
  </si>
  <si>
    <t>343/20</t>
  </si>
  <si>
    <t>34330000-9 Запасні частини до вантажних транспортних засобів, фургонів та легкових автомобілів</t>
  </si>
  <si>
    <t>345fa536943d49bf83b3f7952a8abdd8</t>
  </si>
  <si>
    <t>34910000-9 Гужові чи ручні вози, інші транспортні засоби з немеханічним приводом, багажні вози та різні запасні частини</t>
  </si>
  <si>
    <t>34c72b6eb947422d8a816a3da2d87c9e</t>
  </si>
  <si>
    <t>35/20</t>
  </si>
  <si>
    <t>350/20</t>
  </si>
  <si>
    <t>351/20</t>
  </si>
  <si>
    <t>35110000-8 Протипожежне, рятувальне та захисне обладнання</t>
  </si>
  <si>
    <t>35113400-3 Захисний одяг</t>
  </si>
  <si>
    <t>35113410-6 Спеціальний одяг для біологічного та хімічного захисту</t>
  </si>
  <si>
    <t>35113410-6 Спеціальний одяг для біологічного та хімічного захисту (Комбінезон захисний TYVEK 500 Labo /CHF7/ з носками)</t>
  </si>
  <si>
    <t>3515806540</t>
  </si>
  <si>
    <t>352/20</t>
  </si>
  <si>
    <t>3529107601</t>
  </si>
  <si>
    <t>353/20</t>
  </si>
  <si>
    <t>35372a71541544ba85319b1b5e5b460d</t>
  </si>
  <si>
    <t>35382904</t>
  </si>
  <si>
    <t>354/20</t>
  </si>
  <si>
    <t>35417298</t>
  </si>
  <si>
    <t>354545c4dbb8429d9937fa1eac0a0d84</t>
  </si>
  <si>
    <t>355/20</t>
  </si>
  <si>
    <t>3556209790</t>
  </si>
  <si>
    <t>356/20</t>
  </si>
  <si>
    <t>35644b24314448a6ae9d581ec3a40978</t>
  </si>
  <si>
    <t>356ac1a415ba47f1937062f423abfc40</t>
  </si>
  <si>
    <t>357/20</t>
  </si>
  <si>
    <t>358/20</t>
  </si>
  <si>
    <t>35820000-8 Допоміжне екіпірування</t>
  </si>
  <si>
    <t>35eaf34a9d7c4b0c9dccece310a47ad9</t>
  </si>
  <si>
    <t>35f3b0269dd8440882550c24f8badccb</t>
  </si>
  <si>
    <t>36/347/20</t>
  </si>
  <si>
    <t>360/20</t>
  </si>
  <si>
    <t>3607ef9d9fda43b8a643762db1dc9f03</t>
  </si>
  <si>
    <t>3608e51d9ad644678777c2d77bb33fd6</t>
  </si>
  <si>
    <t>361/20</t>
  </si>
  <si>
    <t>362/20</t>
  </si>
  <si>
    <t>363/20</t>
  </si>
  <si>
    <t>3633906211</t>
  </si>
  <si>
    <t>364/20</t>
  </si>
  <si>
    <t>36441934</t>
  </si>
  <si>
    <t>365/20</t>
  </si>
  <si>
    <t>366/20</t>
  </si>
  <si>
    <t>367/20</t>
  </si>
  <si>
    <t>367/20-ЛВ/952/20</t>
  </si>
  <si>
    <t>36705378</t>
  </si>
  <si>
    <t>36713698</t>
  </si>
  <si>
    <t>368d2f95f7aa4db2aff8715148950fa7</t>
  </si>
  <si>
    <t>36acf90159c94cc3bb1fa8a23f11db70</t>
  </si>
  <si>
    <t>36e46ae3d0384f43bd322ff5ab1fd118</t>
  </si>
  <si>
    <t>37 М/743/20</t>
  </si>
  <si>
    <t>37/348/20</t>
  </si>
  <si>
    <t>370/20</t>
  </si>
  <si>
    <t>372/20</t>
  </si>
  <si>
    <t>373/20</t>
  </si>
  <si>
    <t>374/20</t>
  </si>
  <si>
    <t>37459350</t>
  </si>
  <si>
    <t>375/20</t>
  </si>
  <si>
    <t>37582308</t>
  </si>
  <si>
    <t>376/20</t>
  </si>
  <si>
    <t>376a927d0d2f427287fca0b67955f96d</t>
  </si>
  <si>
    <t>377/20</t>
  </si>
  <si>
    <t>37797799</t>
  </si>
  <si>
    <t>378/20</t>
  </si>
  <si>
    <t>37dd5db294df44f693d8970919a23bb3</t>
  </si>
  <si>
    <t>38/20</t>
  </si>
  <si>
    <t>38/349/20</t>
  </si>
  <si>
    <t>38007479</t>
  </si>
  <si>
    <t>38007505</t>
  </si>
  <si>
    <t>38008192</t>
  </si>
  <si>
    <t>380cb3ac8ba74ce994cc0010a53bbfa1</t>
  </si>
  <si>
    <t>381/20</t>
  </si>
  <si>
    <t>382/20</t>
  </si>
  <si>
    <t>383/20-ЛВ/992/20</t>
  </si>
  <si>
    <t>383681e1c64e45f5a6c8416d0115a8f2</t>
  </si>
  <si>
    <t>38420000-5 Прилади для вимірювання витрати, рівня та тиску рідин і газів</t>
  </si>
  <si>
    <t>38430000-8 Детектори та аналізатори</t>
  </si>
  <si>
    <t>384f5011fb384883a759ba4ad946c30b</t>
  </si>
  <si>
    <t>38501853</t>
  </si>
  <si>
    <t>38701291</t>
  </si>
  <si>
    <t>388/20</t>
  </si>
  <si>
    <t>38831396</t>
  </si>
  <si>
    <t>389/20</t>
  </si>
  <si>
    <t>3891249718724e64bdc2c31ae1a00dcc</t>
  </si>
  <si>
    <t>38993171</t>
  </si>
  <si>
    <t>38fceae2ba324c7897c32c614355541b</t>
  </si>
  <si>
    <t>39/20</t>
  </si>
  <si>
    <t>390/20</t>
  </si>
  <si>
    <t>3907044a6aca4d8f98c1dcfd9e62200f</t>
  </si>
  <si>
    <t>391/20</t>
  </si>
  <si>
    <t>39121000-6 Письмові та інші столи</t>
  </si>
  <si>
    <t>39130000-2 Офісні меблі</t>
  </si>
  <si>
    <t>39196410</t>
  </si>
  <si>
    <t>391c91aec6c44092864feeb6a6d2bbd3</t>
  </si>
  <si>
    <t>39220000-0 Кухонне приладдя, товари для дому та господарства і приладдя для закладів громадського харчування</t>
  </si>
  <si>
    <t>39221000-7 Кухонне приладдя</t>
  </si>
  <si>
    <t>39224000-8 Мітли, щітки та інше господарське приладдя</t>
  </si>
  <si>
    <t>39254235</t>
  </si>
  <si>
    <t>39273420</t>
  </si>
  <si>
    <t>393/20</t>
  </si>
  <si>
    <t>393/972/20</t>
  </si>
  <si>
    <t>39330000-4 Дезінфекційне обладнання</t>
  </si>
  <si>
    <t>39330111</t>
  </si>
  <si>
    <t>39340000-7 Обладнання для газових мереж</t>
  </si>
  <si>
    <t>39370000-6 Водопровідне обладнання</t>
  </si>
  <si>
    <t>394/20</t>
  </si>
  <si>
    <t>395/20</t>
  </si>
  <si>
    <t>39510000-0 Вироби домашнього текстилю</t>
  </si>
  <si>
    <t>39514400-2 Диспенсери для рушників</t>
  </si>
  <si>
    <t>39515400-9 Жалюзі</t>
  </si>
  <si>
    <t>39560000-5 Текстильні вироби різні</t>
  </si>
  <si>
    <t>39594527</t>
  </si>
  <si>
    <t>396/20</t>
  </si>
  <si>
    <t>397/20</t>
  </si>
  <si>
    <t>39710000-2 Електричні побутові прилади</t>
  </si>
  <si>
    <t>39710000-2 Електричні побутові прилади (електрична сушарка для білизни LUNA AL)</t>
  </si>
  <si>
    <t>39710000-2 Електричні побутові прилади (холодильник ELENBERG MR 83-O, водонагрівач проточний Старгаз JSD3K)</t>
  </si>
  <si>
    <t>39736d1a2e00429dae47386ded4a3b44</t>
  </si>
  <si>
    <t>398/20</t>
  </si>
  <si>
    <t>39830000-9 Продукція для чищення</t>
  </si>
  <si>
    <t>39831500-1 Засоби для чищення і миття автомобілів</t>
  </si>
  <si>
    <t>39831700-3 Автоматичні дозатори рідкого мила</t>
  </si>
  <si>
    <t>398b8390ee4d47a6b441a578a1545953</t>
  </si>
  <si>
    <t>399/20</t>
  </si>
  <si>
    <t>39993570</t>
  </si>
  <si>
    <t>39a5908367424c289ca5dac0e6d76425</t>
  </si>
  <si>
    <t>39ac54a84ac1458e9fdf2fb9398d77c8</t>
  </si>
  <si>
    <t>39de66cab460461b89457469a822d185</t>
  </si>
  <si>
    <t>39f5810ebf114fdc8c8e47e345995d61</t>
  </si>
  <si>
    <t>3a2b40d2230044458438af2e8e55745e</t>
  </si>
  <si>
    <t>3a5b62e140144845914c57db07514dea</t>
  </si>
  <si>
    <t>3acbf4bd4c784783accb76302d99079f</t>
  </si>
  <si>
    <t>3b7815ed261e45b3a5494f1394c42c60</t>
  </si>
  <si>
    <t>3ba26253bbcf4eb8bdebc4d6cd080647</t>
  </si>
  <si>
    <t>3bb40328eb044e9481814f58aebc1fd9</t>
  </si>
  <si>
    <t>3c4265d29ca84241906852d0e8c1108d</t>
  </si>
  <si>
    <t>3c544026200c4fd09afc16e6ab02690c</t>
  </si>
  <si>
    <t>3c5bfebd4ea943a9b5fd74b03956b00d</t>
  </si>
  <si>
    <t>3cc1c4e8b7ed455e95aad20d01e3a78d</t>
  </si>
  <si>
    <t>3cd73c2337cc4e27b06201f1fc0f183a</t>
  </si>
  <si>
    <t>3ce363dde3ee45838ef19db31ccac411</t>
  </si>
  <si>
    <t>3d2ad134e3064eb0a7850bc3d6890242</t>
  </si>
  <si>
    <t>3ddfdf90bac64a878589cdb939370b2f</t>
  </si>
  <si>
    <t>3e365ddbc8874678a552301118892a7e</t>
  </si>
  <si>
    <t>3e4366913747453880cc3776eff329ff</t>
  </si>
  <si>
    <t>3e68a575c049470e9ed7a0ac57e9c7ee</t>
  </si>
  <si>
    <t>3e96279d616b4292b0316dd3942ad4bb</t>
  </si>
  <si>
    <t>3ead0230e13f421e8d5fd9f6c0e79951</t>
  </si>
  <si>
    <t>3eda8608ac474ab6b641cf4f2f2f7964</t>
  </si>
  <si>
    <t>3f06734453794738bb810005413f95bc</t>
  </si>
  <si>
    <t>3f3e79cca40c4d0f994167eae6898c97</t>
  </si>
  <si>
    <t>3f40cbebe5fd4436b16d3a51aeec52ef</t>
  </si>
  <si>
    <t>3f5b78830a204277acf1ca1576eb245d</t>
  </si>
  <si>
    <t>3f88d0d9fa46438497df2a626298d802</t>
  </si>
  <si>
    <t>3f911a70d4b44c35a1ddf10794550b5f</t>
  </si>
  <si>
    <t>3fa95e55fa6e4effac8edc06243148f2</t>
  </si>
  <si>
    <t>3faa8de3e46743ba978756d1f4ea357b</t>
  </si>
  <si>
    <t>3fc3507f4e564e0a8ce16a59735743c6</t>
  </si>
  <si>
    <t>4/5/710/20</t>
  </si>
  <si>
    <t>4/623/20</t>
  </si>
  <si>
    <t>4/720/20</t>
  </si>
  <si>
    <t>4/729/20</t>
  </si>
  <si>
    <t>4/78/20</t>
  </si>
  <si>
    <t>40/20</t>
  </si>
  <si>
    <t>40/20DRG/310/20</t>
  </si>
  <si>
    <t>400/20</t>
  </si>
  <si>
    <t>401/20</t>
  </si>
  <si>
    <t>40108887</t>
  </si>
  <si>
    <t>406/20</t>
  </si>
  <si>
    <t>407/20</t>
  </si>
  <si>
    <t>407e1369adf642c3a138a6c65f7bba53</t>
  </si>
  <si>
    <t>408/20</t>
  </si>
  <si>
    <t>409/20</t>
  </si>
  <si>
    <t>40b467d930ca4aa5892187d89f79dda4</t>
  </si>
  <si>
    <t>40bbfd811c1d48918612a8ec579b75c9</t>
  </si>
  <si>
    <t>410/20</t>
  </si>
  <si>
    <t>41003474</t>
  </si>
  <si>
    <t>411/20</t>
  </si>
  <si>
    <t>412/20</t>
  </si>
  <si>
    <t>412/977/20</t>
  </si>
  <si>
    <t>4121e2de20fa46c384b39dd157033982</t>
  </si>
  <si>
    <t>41294d2045cf40d2829154366ea2e679</t>
  </si>
  <si>
    <t>413/20</t>
  </si>
  <si>
    <t>413/978/20</t>
  </si>
  <si>
    <t>414/979/20</t>
  </si>
  <si>
    <t>41431467</t>
  </si>
  <si>
    <t>41493759</t>
  </si>
  <si>
    <t>41571077</t>
  </si>
  <si>
    <t>416/20</t>
  </si>
  <si>
    <t>418/20</t>
  </si>
  <si>
    <t>4187-20/946/20</t>
  </si>
  <si>
    <t>4188a5dec207460ca9750fe705dd22e3</t>
  </si>
  <si>
    <t>4189-20/947/20</t>
  </si>
  <si>
    <t>419/20</t>
  </si>
  <si>
    <t>4191-20/945/20</t>
  </si>
  <si>
    <t>41932082</t>
  </si>
  <si>
    <t>41937138</t>
  </si>
  <si>
    <t>4195-20/948/20</t>
  </si>
  <si>
    <t>419566e8eff341dcab43ae7181f20fa9</t>
  </si>
  <si>
    <t>41CВ797-341-20/30/20</t>
  </si>
  <si>
    <t>420/20</t>
  </si>
  <si>
    <t>42071629</t>
  </si>
  <si>
    <t>42079261</t>
  </si>
  <si>
    <t>42092130</t>
  </si>
  <si>
    <t>421/20</t>
  </si>
  <si>
    <t>42131000-6 Крани, вентилі та клапани</t>
  </si>
  <si>
    <t>42161000-5 Водонагрівальні бойлери</t>
  </si>
  <si>
    <t>422/20</t>
  </si>
  <si>
    <t>42264086</t>
  </si>
  <si>
    <t>423/20</t>
  </si>
  <si>
    <t>42350000-4 Кремаційні печі</t>
  </si>
  <si>
    <t>424/20</t>
  </si>
  <si>
    <t>42499238</t>
  </si>
  <si>
    <t>425/20</t>
  </si>
  <si>
    <t>426/20</t>
  </si>
  <si>
    <t>42617164</t>
  </si>
  <si>
    <t>427/20</t>
  </si>
  <si>
    <t>427/991/20</t>
  </si>
  <si>
    <t>42716000-8 Пральні машини, машини для сухого чищення та сушильні машини</t>
  </si>
  <si>
    <t>427a117fd1264af2978bd494c2cd044f</t>
  </si>
  <si>
    <t>428/20</t>
  </si>
  <si>
    <t>429/20</t>
  </si>
  <si>
    <t>42924720-2 Дезінфекційне обладнання</t>
  </si>
  <si>
    <t>42931000-1 Центрифуги</t>
  </si>
  <si>
    <t>42968000-9 Диспенсери</t>
  </si>
  <si>
    <t>42997566</t>
  </si>
  <si>
    <t>42a7553ab61f4813ba126bc92acf930b</t>
  </si>
  <si>
    <t>42f24912b94d4b2a85e7918b6f698324</t>
  </si>
  <si>
    <t>42f58d27a15f4b9a93db93f9b3078514</t>
  </si>
  <si>
    <t>43/20</t>
  </si>
  <si>
    <t>430/20</t>
  </si>
  <si>
    <t>431/20</t>
  </si>
  <si>
    <t>432d4d6bae2547b5a7149c608c40ae1f</t>
  </si>
  <si>
    <t>433/20</t>
  </si>
  <si>
    <t>4338d888a92347febdd7adaa38c55dc7</t>
  </si>
  <si>
    <t>434/20</t>
  </si>
  <si>
    <t>435/20</t>
  </si>
  <si>
    <t>43554851</t>
  </si>
  <si>
    <t>436/20</t>
  </si>
  <si>
    <t>437/20</t>
  </si>
  <si>
    <t>43744101</t>
  </si>
  <si>
    <t>437fd2f8e4ab42d3b42d7b64cd9e1fab</t>
  </si>
  <si>
    <t>43809526</t>
  </si>
  <si>
    <t>439/20</t>
  </si>
  <si>
    <t>43a3d531e2c6495686fcfd3fd9ab5ed5</t>
  </si>
  <si>
    <t>44/20</t>
  </si>
  <si>
    <t>440/20</t>
  </si>
  <si>
    <t>441/20</t>
  </si>
  <si>
    <t>44110000-4 Конструкційні матеріали</t>
  </si>
  <si>
    <t>44111000-1 Будівельні матеріали</t>
  </si>
  <si>
    <t>44112230-9 Лінолеум</t>
  </si>
  <si>
    <t>44149ad52e7549518d600c25ebd7f3fc</t>
  </si>
  <si>
    <t>44160000-9 Магістралі, трубопроводи, труби, обсадні труби, тюбінги та супутні вироби</t>
  </si>
  <si>
    <t>44172000-6 Листи (будівельні)</t>
  </si>
  <si>
    <t>44176000-4 Плівки</t>
  </si>
  <si>
    <t>442/20</t>
  </si>
  <si>
    <t>44221000-5 Вікна, двері та супутні вироби</t>
  </si>
  <si>
    <t>44221200-7 Двері</t>
  </si>
  <si>
    <t>443/20</t>
  </si>
  <si>
    <t>44315200-3 Зварювальні матеріали</t>
  </si>
  <si>
    <t>44320000-9 Кабелі та супутня продукція</t>
  </si>
  <si>
    <t>444/20</t>
  </si>
  <si>
    <t>44410000-7 Вироби для ванної кімнати та кухні</t>
  </si>
  <si>
    <t>44411000-4 Санітарна техніка</t>
  </si>
  <si>
    <t xml:space="preserve">44411000-4 Санітарна техніка (унітаз, умивальник, душова кабіна, змішувач) </t>
  </si>
  <si>
    <t>44411740-3 Унітази</t>
  </si>
  <si>
    <t>44420000-0 Будівельні товари</t>
  </si>
  <si>
    <t>445/20</t>
  </si>
  <si>
    <t>44510000-8 Знаряддя</t>
  </si>
  <si>
    <t>44511000-5 Ручні знаряддя</t>
  </si>
  <si>
    <t>44520000-1 Замки, ключі та петлі</t>
  </si>
  <si>
    <t>44521000-8 Навісні та врізні замки різні</t>
  </si>
  <si>
    <t>44530000-4 Кріпильні деталі</t>
  </si>
  <si>
    <t>446/20</t>
  </si>
  <si>
    <t>44610000-9 Цистерни, резервуари, контейнери та посудини високого тиску</t>
  </si>
  <si>
    <t>447/20</t>
  </si>
  <si>
    <t>448/20</t>
  </si>
  <si>
    <t>44810000-1 Фарби</t>
  </si>
  <si>
    <t>44830000-7 Мастики, шпаклівки, замазки та розчинники</t>
  </si>
  <si>
    <t>449/20</t>
  </si>
  <si>
    <t>44901419dcc543489cbb9f60e0457425</t>
  </si>
  <si>
    <t>449b4aa8d2b642a590210b9295a21c08</t>
  </si>
  <si>
    <t>45/20</t>
  </si>
  <si>
    <t>450/20</t>
  </si>
  <si>
    <t>45000000-7 Будівельні роботи та поточний ремонт</t>
  </si>
  <si>
    <t>451/20</t>
  </si>
  <si>
    <t>45112730-1 Благоустрій доріг і шосе</t>
  </si>
  <si>
    <t>45230000-8 Будівництво трубопроводів, ліній зв’язку та електропередач, шосе, доріг, аеродромів і залізничних доріг; вирівнювання поверхонь</t>
  </si>
  <si>
    <t>45260000-7 Покрівельні роботи та інші спеціалізовані будівельні роботи</t>
  </si>
  <si>
    <t>453/20</t>
  </si>
  <si>
    <t>45300000-0 Будівельно-монтажні роботи</t>
  </si>
  <si>
    <t>45310000-3 Електромонтажні роботи</t>
  </si>
  <si>
    <t>45330000-9 Водопровідні та санітарно-технічні роботи</t>
  </si>
  <si>
    <t>45350000-5 Механо-монтажні роботи</t>
  </si>
  <si>
    <t>454/20</t>
  </si>
  <si>
    <t>45420000-7 Столярні та теслярні роботи</t>
  </si>
  <si>
    <t>45443000-4 Фасадні роботи</t>
  </si>
  <si>
    <t>45450000-6 Інші завершальні будівельні роботи</t>
  </si>
  <si>
    <t>45453000-7 Капітальний ремонт і реставрація</t>
  </si>
  <si>
    <t>45454000-4 Реконструкція</t>
  </si>
  <si>
    <t>455/20</t>
  </si>
  <si>
    <t>4551bc2785234b7cac5a66ddc42aabc8</t>
  </si>
  <si>
    <t>45572af55ef14204a9bdab52acc07533</t>
  </si>
  <si>
    <t>456/20</t>
  </si>
  <si>
    <t>457/20</t>
  </si>
  <si>
    <t>458/20</t>
  </si>
  <si>
    <t>459/20</t>
  </si>
  <si>
    <t>460/20</t>
  </si>
  <si>
    <t>461/20</t>
  </si>
  <si>
    <t>462/20</t>
  </si>
  <si>
    <t>462d2c408c154897918c5d466f39d2b3</t>
  </si>
  <si>
    <t>463/20</t>
  </si>
  <si>
    <t>464/20</t>
  </si>
  <si>
    <t>465/20</t>
  </si>
  <si>
    <t>466/20</t>
  </si>
  <si>
    <t>46bd8f8b6a7a47aebd9c28bb2bd9a6de</t>
  </si>
  <si>
    <t>46edbfa79f75492aa12c7b3c202564a4</t>
  </si>
  <si>
    <t>47/20</t>
  </si>
  <si>
    <t>471/20</t>
  </si>
  <si>
    <t>472/20</t>
  </si>
  <si>
    <t>473/20</t>
  </si>
  <si>
    <t>474/20</t>
  </si>
  <si>
    <t>474010e6caf04a1994d8db6d24d5bd0a</t>
  </si>
  <si>
    <t>474f346f672a4f9d9afe3a53cba5e454</t>
  </si>
  <si>
    <t>478/20</t>
  </si>
  <si>
    <t>479/20</t>
  </si>
  <si>
    <t>47b67e73c14940a8a1c750f4ea877dea</t>
  </si>
  <si>
    <t>48/20</t>
  </si>
  <si>
    <t>480/20</t>
  </si>
  <si>
    <t>481/20</t>
  </si>
  <si>
    <t>48180000-3 Пакети медичного програмного забезпечення</t>
  </si>
  <si>
    <t>482/20</t>
  </si>
  <si>
    <t>4826af6cb8314f30b0e1411817580b30</t>
  </si>
  <si>
    <t>483/20</t>
  </si>
  <si>
    <t>484/20</t>
  </si>
  <si>
    <t>485bf9dff35d4b068d74514d7d0d387a</t>
  </si>
  <si>
    <t>485c3f2f760b4fa081c074d32331da49</t>
  </si>
  <si>
    <t>486/20</t>
  </si>
  <si>
    <t>48610000-7 Системи баз даних</t>
  </si>
  <si>
    <t>487/20</t>
  </si>
  <si>
    <t>489/20</t>
  </si>
  <si>
    <t>48d8fa0e2751495eaf70b93b57450622</t>
  </si>
  <si>
    <t>490/20</t>
  </si>
  <si>
    <t>491/20</t>
  </si>
  <si>
    <t>49258d0262cd4b0cb290b8c5c4226d4b</t>
  </si>
  <si>
    <t>493/20</t>
  </si>
  <si>
    <t>495/20</t>
  </si>
  <si>
    <t>497/20</t>
  </si>
  <si>
    <t>4973-18/973/20</t>
  </si>
  <si>
    <t>498/20</t>
  </si>
  <si>
    <t>499/20</t>
  </si>
  <si>
    <t>49dfde55298046c08c4c68afe1b6e127</t>
  </si>
  <si>
    <t>4a93610de13c4813ba027dea3e7325eb</t>
  </si>
  <si>
    <t>4a97d803134b4a38b98a7b26721382c7</t>
  </si>
  <si>
    <t>4aef61de509d45adbf22ce9d64f2176d</t>
  </si>
  <si>
    <t>4b01f48b205f47c1a0da7e12ebd57ede</t>
  </si>
  <si>
    <t>4b1bcbaa15fb4e929732022678f75393</t>
  </si>
  <si>
    <t>4b315994d2054d39879c2c123b40c0c5</t>
  </si>
  <si>
    <t>4b5a854356f14db2b0299ce433d239cd</t>
  </si>
  <si>
    <t>4b71d4b75c7b4ffb859105b0373466df</t>
  </si>
  <si>
    <t>4b9c1f8e4cae4406add4cfef1785197a</t>
  </si>
  <si>
    <t>4bbcd477ee75411f9b1ef66041d21b53</t>
  </si>
  <si>
    <t>4c84d4eb9e9f4edfb65150065a142090</t>
  </si>
  <si>
    <t>4c9f8fd5e5334c379bff3acdd7bb235e</t>
  </si>
  <si>
    <t>4cebb04f438040808e3012b0595160ac</t>
  </si>
  <si>
    <t>4d0b05d4194148209f65c79974d44f59</t>
  </si>
  <si>
    <t>4d495a7dc4684fbb82344e6d0f4c8804</t>
  </si>
  <si>
    <t>4d62c79a45ff4d7abc3919d6ca9be70a</t>
  </si>
  <si>
    <t>4d8885064b84409db6e86620e7c0eb48</t>
  </si>
  <si>
    <t>4dc107dc64ba44f489cd56c745b53bd5</t>
  </si>
  <si>
    <t>4df07d25898944a18df4949759830883</t>
  </si>
  <si>
    <t>4e9bc26b1092484da46f8a89b19df33b</t>
  </si>
  <si>
    <t>4ec8ba21ec2545ea82973397e6c9433e</t>
  </si>
  <si>
    <t>4ecdf09b339343f89ced90f62d022d32</t>
  </si>
  <si>
    <t>4f04d34d07864ba8b4cd34ff21aa6ccc</t>
  </si>
  <si>
    <t>4f3d76ca565741f183d3de661ce6ace1</t>
  </si>
  <si>
    <t>4f9f717ea66a493ebf3542968f279f8e</t>
  </si>
  <si>
    <t>4fc31252007644c5a56c0acbc7815ef2</t>
  </si>
  <si>
    <t>4М/70/20</t>
  </si>
  <si>
    <t>5/20</t>
  </si>
  <si>
    <t>5/812/20</t>
  </si>
  <si>
    <t>5/924/20</t>
  </si>
  <si>
    <t>50/20</t>
  </si>
  <si>
    <t>500/20</t>
  </si>
  <si>
    <t>5008fa8e74b34544b922ebd10b1aa07e</t>
  </si>
  <si>
    <t>501/20</t>
  </si>
  <si>
    <t>50112000-3 Послуги з ремонту і технічного обслуговування автомобілів</t>
  </si>
  <si>
    <t>502/20</t>
  </si>
  <si>
    <t>502638aabd2242bf81adddd6baedf9fe</t>
  </si>
  <si>
    <t>503/20</t>
  </si>
  <si>
    <t>50310000-1 Технічне обслуговування і ремонт офісної техніки</t>
  </si>
  <si>
    <t>50313200-4 Послуги з технічного обслуговування фотокопіювальних пристроїв</t>
  </si>
  <si>
    <t>50322000-8 Послуги з технічного обслуговування персональних комп’ютерів</t>
  </si>
  <si>
    <t>504/20</t>
  </si>
  <si>
    <t>50410000-2 Послуги з ремонту і технічного обслуговування вимірювальних, випробувальних і контрольних приладів</t>
  </si>
  <si>
    <t>50411000-9 Послуги з ремонту і технічного обслуговування вимірювальних приладів</t>
  </si>
  <si>
    <t>50420000-5 Послуги з ремонту і технічного обслуговування медичного та хірургічного обладнання</t>
  </si>
  <si>
    <t>505/20</t>
  </si>
  <si>
    <t>506/20</t>
  </si>
  <si>
    <t>507/20</t>
  </si>
  <si>
    <t>50750000-7 Послуги з технічного обслуговування ліфтів</t>
  </si>
  <si>
    <t>508/20</t>
  </si>
  <si>
    <t>509/20</t>
  </si>
  <si>
    <t>509d2bf3ec964dcca1bf0c2c6b9840dc</t>
  </si>
  <si>
    <t>51/20</t>
  </si>
  <si>
    <t>510/20</t>
  </si>
  <si>
    <t>511/20</t>
  </si>
  <si>
    <t>512/20</t>
  </si>
  <si>
    <t>513/20</t>
  </si>
  <si>
    <t>514/20</t>
  </si>
  <si>
    <t>514669cc9d6444dabf87850785124593</t>
  </si>
  <si>
    <t>515/20</t>
  </si>
  <si>
    <t>516/20</t>
  </si>
  <si>
    <t>519/20</t>
  </si>
  <si>
    <t>519abe91b571409c9ae445689d70d936</t>
  </si>
  <si>
    <t>51a9170a34f645f9badcd00da06d5934</t>
  </si>
  <si>
    <t>52/20</t>
  </si>
  <si>
    <t>520/20</t>
  </si>
  <si>
    <t>520195dfc7774dbf825049b54b692493</t>
  </si>
  <si>
    <t>521/20</t>
  </si>
  <si>
    <t>522/20</t>
  </si>
  <si>
    <t>523/20</t>
  </si>
  <si>
    <t>524/20</t>
  </si>
  <si>
    <t>525/20</t>
  </si>
  <si>
    <t>526/20</t>
  </si>
  <si>
    <t>527/20</t>
  </si>
  <si>
    <t>5273db6e227c4679bbf6beaa81fe5878</t>
  </si>
  <si>
    <t>528/20</t>
  </si>
  <si>
    <t>529/20</t>
  </si>
  <si>
    <t>5295f3d4377641a98342ea76ce9e3839</t>
  </si>
  <si>
    <t>52ba6133903744b687107ded7fb576ca</t>
  </si>
  <si>
    <t>52bb95cbabf94dd9906ef936ff531dde</t>
  </si>
  <si>
    <t>53/20</t>
  </si>
  <si>
    <t>530/20</t>
  </si>
  <si>
    <t>531/20</t>
  </si>
  <si>
    <t>535/20</t>
  </si>
  <si>
    <t>5366bc0888d54ad2adf19b069dbfa37e</t>
  </si>
  <si>
    <t>539/20</t>
  </si>
  <si>
    <t>53d0aad58f114916a42c46611144c2f5</t>
  </si>
  <si>
    <t>54/20</t>
  </si>
  <si>
    <t>540/20</t>
  </si>
  <si>
    <t>541/20</t>
  </si>
  <si>
    <t>54138c63848f44d4ada72f3951407257</t>
  </si>
  <si>
    <t>5418cd9b5ae6434f9eb77562853f8b56</t>
  </si>
  <si>
    <t>542/20</t>
  </si>
  <si>
    <t>543/20</t>
  </si>
  <si>
    <t>544f4b55b6d244a3b7fe6d7079606476</t>
  </si>
  <si>
    <t>545/20</t>
  </si>
  <si>
    <t>545fd6515c024518ac6a70fde6ef50c6</t>
  </si>
  <si>
    <t>547/20</t>
  </si>
  <si>
    <t>548/20</t>
  </si>
  <si>
    <t>549/20</t>
  </si>
  <si>
    <t>54f3e8e2afce4389a043798780615454</t>
  </si>
  <si>
    <t>55/20</t>
  </si>
  <si>
    <t>550/20</t>
  </si>
  <si>
    <t>551/20</t>
  </si>
  <si>
    <t>552/20</t>
  </si>
  <si>
    <t>553/20</t>
  </si>
  <si>
    <t>554/20</t>
  </si>
  <si>
    <t>555/20</t>
  </si>
  <si>
    <t>556/20</t>
  </si>
  <si>
    <t>557/20</t>
  </si>
  <si>
    <t>558/20</t>
  </si>
  <si>
    <t>558625d0af79480595feca31eeb95d0b</t>
  </si>
  <si>
    <t>559/20</t>
  </si>
  <si>
    <t>5599e5fdab5f4e0fab3ed2518a850665</t>
  </si>
  <si>
    <t>55aa7182443348e094f0e799c3303877</t>
  </si>
  <si>
    <t>55e4dc8b44d64bd7bd78f85b50794f2d</t>
  </si>
  <si>
    <t>56/13/20</t>
  </si>
  <si>
    <t>560/20</t>
  </si>
  <si>
    <t>561/20</t>
  </si>
  <si>
    <t>562/20</t>
  </si>
  <si>
    <t>562ca43e206e42189abe3c94879a8d31</t>
  </si>
  <si>
    <t>563/20</t>
  </si>
  <si>
    <t>565/20</t>
  </si>
  <si>
    <t>5650379cbed9464d95a5c4b12c0aafc7</t>
  </si>
  <si>
    <t>566/20</t>
  </si>
  <si>
    <t>56767a8f3cea4fdd8cd725f659f45f7a</t>
  </si>
  <si>
    <t>568/20</t>
  </si>
  <si>
    <t>568cf1da3611487986347a1eba031fdc</t>
  </si>
  <si>
    <t>569/20</t>
  </si>
  <si>
    <t>56adc756cbe745759d73efcd6702eee2</t>
  </si>
  <si>
    <t>56d772726aa04edea62b5d968d961854</t>
  </si>
  <si>
    <t>56d8c9f9af52490fbe011c945c5c5416</t>
  </si>
  <si>
    <t>56dbcc3b825b40caaf11117faf83c95f</t>
  </si>
  <si>
    <t>56f6299cb2854d00aba66bb4946a04ac</t>
  </si>
  <si>
    <t>570/20</t>
  </si>
  <si>
    <t>57612d1bc1274447bc4e9459d0c539a0</t>
  </si>
  <si>
    <t>577/20</t>
  </si>
  <si>
    <t>57738d79c770458a82604f6a3f130cff</t>
  </si>
  <si>
    <t>578/20</t>
  </si>
  <si>
    <t>579/20</t>
  </si>
  <si>
    <t>57dca0462cb6493ab8adae17eff29d05</t>
  </si>
  <si>
    <t>58/941/20</t>
  </si>
  <si>
    <t>580/20</t>
  </si>
  <si>
    <t>581/20</t>
  </si>
  <si>
    <t>582/20</t>
  </si>
  <si>
    <t>582/20НВ/329/20</t>
  </si>
  <si>
    <t>583/20</t>
  </si>
  <si>
    <t>584/20</t>
  </si>
  <si>
    <t>585/20</t>
  </si>
  <si>
    <t>586/20</t>
  </si>
  <si>
    <t>587/20</t>
  </si>
  <si>
    <t>588/20</t>
  </si>
  <si>
    <t>589/20</t>
  </si>
  <si>
    <t>5892650c157847a5a02b670d049231f1</t>
  </si>
  <si>
    <t>58aaa4df092946deb9439e0dfb321759</t>
  </si>
  <si>
    <t>58b9624a1510445aa97a21cc08111655</t>
  </si>
  <si>
    <t>58bd6dfc5dbc46979be2616ba4148db5</t>
  </si>
  <si>
    <t>58dd5875d09940609d4729c2b89a7454</t>
  </si>
  <si>
    <t>58f363f7f8a9436da650e4810ce37fb9</t>
  </si>
  <si>
    <t>59/20</t>
  </si>
  <si>
    <t>590827e69f734a1b9ed17a07838d9874</t>
  </si>
  <si>
    <t>591/20</t>
  </si>
  <si>
    <t>592/20</t>
  </si>
  <si>
    <t>593/20</t>
  </si>
  <si>
    <t>593abf1adc1d4983909f44befec88c04</t>
  </si>
  <si>
    <t>594/20</t>
  </si>
  <si>
    <t>595/20</t>
  </si>
  <si>
    <t>596/20</t>
  </si>
  <si>
    <t>597/20</t>
  </si>
  <si>
    <t>598/20</t>
  </si>
  <si>
    <t>599/20</t>
  </si>
  <si>
    <t>5a137b8083db4a5bbbcb228e077fc8c2</t>
  </si>
  <si>
    <t>5a1df62f16094a518368d792ed081562</t>
  </si>
  <si>
    <t>5a1f75c7a3674b2db6898d9ca465268b</t>
  </si>
  <si>
    <t>5a8294f6b34f4ae0a639f6e39ded1d25</t>
  </si>
  <si>
    <t>5b355c92286f4b0f8b1e7026c987b34c</t>
  </si>
  <si>
    <t>5b36319dddd94fbd906b1facd9af1679</t>
  </si>
  <si>
    <t>5b3a1c82cf71481da3be1e790ed33f40</t>
  </si>
  <si>
    <t>5b61ca8b73c5406e967c47394448f03f</t>
  </si>
  <si>
    <t>5b6c9eab39284625810d585281ea76aa</t>
  </si>
  <si>
    <t>5b7a8fb90a924c5e8a19191ac55969ca</t>
  </si>
  <si>
    <t>5bbd585a0db94aa185be540127cbb0d2</t>
  </si>
  <si>
    <t>5c658334d6b94056a146846a38e09630</t>
  </si>
  <si>
    <t>5ce8da5ab8204f29bd6494db4bc0284e</t>
  </si>
  <si>
    <t>5cee0e607300489199ba33b3aba58d04</t>
  </si>
  <si>
    <t>5cfa2d47fd31441db7947d8b5f715d0c</t>
  </si>
  <si>
    <t>5dd79dd30a9b408eba86f5327e1d09eb</t>
  </si>
  <si>
    <t>5dd93b4e7ac841919af230607f398090</t>
  </si>
  <si>
    <t>5dfe7141aeff439998bb2200e3c94fb8</t>
  </si>
  <si>
    <t>5e18ae54fa2445e496eac01c993d9baf</t>
  </si>
  <si>
    <t>5e204199ca4d4587bdc7bb1cb806bf2a</t>
  </si>
  <si>
    <t>5e449c7264cb4f568c1cf16325e245d9</t>
  </si>
  <si>
    <t>5eed7427a0144785abea3cc5a3dd1c5f</t>
  </si>
  <si>
    <t>5f4f9ddc4d32491db24ce16d9a160dd4</t>
  </si>
  <si>
    <t>5f87d9556a8948ffaa506b469fc26528</t>
  </si>
  <si>
    <t>5fd8b07ff1784a238d13adf5a6070c38</t>
  </si>
  <si>
    <t>5М/71/20</t>
  </si>
  <si>
    <t>6/5/742/20</t>
  </si>
  <si>
    <t>6/928/20</t>
  </si>
  <si>
    <t>60/20</t>
  </si>
  <si>
    <t>600/20</t>
  </si>
  <si>
    <t>60000000-8 Транспортні послуги (крім транспортування відходів)</t>
  </si>
  <si>
    <t>60000000-8 Транспортні послуги (крім транспортування відходів) (доставка медичного кисню)</t>
  </si>
  <si>
    <t>60000000-8 Транспортні послуги (крім транспортування відходів) (достака медичного кисню)</t>
  </si>
  <si>
    <t>601/20</t>
  </si>
  <si>
    <t>60100000-9 Послуги з автомобільних перевезень</t>
  </si>
  <si>
    <t>60424e5953d04707a086d43c2d56991f</t>
  </si>
  <si>
    <t>605/20</t>
  </si>
  <si>
    <t>605/693/20</t>
  </si>
  <si>
    <t>606/20</t>
  </si>
  <si>
    <t>606be6c4987444e09000e5481483bb3a</t>
  </si>
  <si>
    <t>607/20</t>
  </si>
  <si>
    <t>6081dc11c317403d973de3cd1790809f</t>
  </si>
  <si>
    <t>609/20</t>
  </si>
  <si>
    <t>60df98e180bf4ea0b7578cfebdfa759f</t>
  </si>
  <si>
    <t>61/20</t>
  </si>
  <si>
    <t>610/20</t>
  </si>
  <si>
    <t>611/20</t>
  </si>
  <si>
    <t>612/20</t>
  </si>
  <si>
    <t>613/20</t>
  </si>
  <si>
    <t>614/20</t>
  </si>
  <si>
    <t>615/20</t>
  </si>
  <si>
    <t>616/20</t>
  </si>
  <si>
    <t>617/20</t>
  </si>
  <si>
    <t>617/333/20</t>
  </si>
  <si>
    <t>618/20</t>
  </si>
  <si>
    <t>618/334/20</t>
  </si>
  <si>
    <t>6185a6ed9e514f058cd19c588807d23f</t>
  </si>
  <si>
    <t>619/20</t>
  </si>
  <si>
    <t>61de6f608a7f49f1b855b3942910cd44</t>
  </si>
  <si>
    <t>62/20</t>
  </si>
  <si>
    <t>62/573/20</t>
  </si>
  <si>
    <t>620/20</t>
  </si>
  <si>
    <t>6206cd42f48b40c486b2760f80aa96c3</t>
  </si>
  <si>
    <t>621bf08a0a16420baf7c71bb337233f8</t>
  </si>
  <si>
    <t>62202498e27b4f4e81170013467036fc</t>
  </si>
  <si>
    <t>624/20</t>
  </si>
  <si>
    <t>625/20</t>
  </si>
  <si>
    <t>626/20</t>
  </si>
  <si>
    <t>627/20</t>
  </si>
  <si>
    <t>628/20</t>
  </si>
  <si>
    <t>629/20</t>
  </si>
  <si>
    <t>62f93359d4ab4418a68c726438f995d1</t>
  </si>
  <si>
    <t>63/20</t>
  </si>
  <si>
    <t>630/20</t>
  </si>
  <si>
    <t>631/20</t>
  </si>
  <si>
    <t>632/20</t>
  </si>
  <si>
    <t>633/20</t>
  </si>
  <si>
    <t>634/20</t>
  </si>
  <si>
    <t>634447d7ee244671b6f21084580ce179</t>
  </si>
  <si>
    <t>635/20</t>
  </si>
  <si>
    <t>636/380/20</t>
  </si>
  <si>
    <t>637/404/20</t>
  </si>
  <si>
    <t>6385484a5ed0453994f5c1564b2ea895</t>
  </si>
  <si>
    <t>63b96b23593246fab90bf959a3c10223</t>
  </si>
  <si>
    <t>63c6e9830ee446b6aef7ec611546dae8</t>
  </si>
  <si>
    <t>63d08a98fa224a41a709d152814211a9</t>
  </si>
  <si>
    <t>641/20</t>
  </si>
  <si>
    <t>642/20</t>
  </si>
  <si>
    <t>64200000-8 Телекомунікаційні послуги</t>
  </si>
  <si>
    <t>64200000-8 Телекомунікаційні послуги (надання послуг некомутованого доступу до мережі Інтернет)</t>
  </si>
  <si>
    <t>644/20НВ/518/20</t>
  </si>
  <si>
    <t>646/20</t>
  </si>
  <si>
    <t>646ab38a475447c89eb0e2247a5e2a6f</t>
  </si>
  <si>
    <t>647/20</t>
  </si>
  <si>
    <t>648/20</t>
  </si>
  <si>
    <t>648ba350e2b94cacbe68658e45f07808</t>
  </si>
  <si>
    <t>649/20</t>
  </si>
  <si>
    <t>64c261e6108d4bcf87150c20e02acc80</t>
  </si>
  <si>
    <t>64c2bbd33e8140b49e018122394059a8</t>
  </si>
  <si>
    <t>64c3f8fd8b224714801255d3606ee5d8</t>
  </si>
  <si>
    <t>650/20</t>
  </si>
  <si>
    <t>651/20</t>
  </si>
  <si>
    <t>65110000-7 Розподіл води</t>
  </si>
  <si>
    <t>652/20</t>
  </si>
  <si>
    <t>653/20</t>
  </si>
  <si>
    <t>65310000-9 Розподіл електричної енергії</t>
  </si>
  <si>
    <t>654/20</t>
  </si>
  <si>
    <t>655/20</t>
  </si>
  <si>
    <t>656/20</t>
  </si>
  <si>
    <t>657/20</t>
  </si>
  <si>
    <t>658/20</t>
  </si>
  <si>
    <t>65933d2e3d464389ba0a3750d8d3dda2</t>
  </si>
  <si>
    <t>65b8f1d6bb9a409282df3a39995a1b90</t>
  </si>
  <si>
    <t>65bb41192ba6449fb6668aa74123f00f</t>
  </si>
  <si>
    <t>65c2d9f3f3b940f88f692fd1e323ac53</t>
  </si>
  <si>
    <t>65e44bd36d654db288cf7a6d67a8273e</t>
  </si>
  <si>
    <t>66/20</t>
  </si>
  <si>
    <t>660/20</t>
  </si>
  <si>
    <t>660cf170ee044d438127d90e6cc52043</t>
  </si>
  <si>
    <t>661/20</t>
  </si>
  <si>
    <t>663/20</t>
  </si>
  <si>
    <t>664/20</t>
  </si>
  <si>
    <t>665/20</t>
  </si>
  <si>
    <t>66514110-0 Послуги зі страхування транспортних засобів</t>
  </si>
  <si>
    <t>666/20</t>
  </si>
  <si>
    <t>666/414/20</t>
  </si>
  <si>
    <t>667/20</t>
  </si>
  <si>
    <t>667/432/20</t>
  </si>
  <si>
    <t>668/20</t>
  </si>
  <si>
    <t>669/20</t>
  </si>
  <si>
    <t>669a0ca6e19645dd904cabed99931ae5</t>
  </si>
  <si>
    <t>669ffa90ab614b619d7c383dc2af236e</t>
  </si>
  <si>
    <t>66f79a4c01154b4f93a82dabf9b0ba97</t>
  </si>
  <si>
    <t>670/20</t>
  </si>
  <si>
    <t>671/20</t>
  </si>
  <si>
    <t>672/20</t>
  </si>
  <si>
    <t>673/20</t>
  </si>
  <si>
    <t>674/20</t>
  </si>
  <si>
    <t>675/20</t>
  </si>
  <si>
    <t>6754055093e44144b57efde42765cdb6</t>
  </si>
  <si>
    <t>676/20</t>
  </si>
  <si>
    <t>676abce67d7846c79318fde5592d8708</t>
  </si>
  <si>
    <t>677/20</t>
  </si>
  <si>
    <t>67713c6f0c9f4fccb104a82cc6ca56b9</t>
  </si>
  <si>
    <t>678/20</t>
  </si>
  <si>
    <t>679/20</t>
  </si>
  <si>
    <t>67e4c2c5b5934a02b183663c88f1c26e</t>
  </si>
  <si>
    <t>68/20</t>
  </si>
  <si>
    <t>680/20</t>
  </si>
  <si>
    <t>681/20</t>
  </si>
  <si>
    <t>682/20</t>
  </si>
  <si>
    <t>683/20</t>
  </si>
  <si>
    <t>683b55bd1b6545a2be762374b718175e</t>
  </si>
  <si>
    <t>684/005/574/20</t>
  </si>
  <si>
    <t>687683f620944512973910127f076c7f</t>
  </si>
  <si>
    <t>68a760511a0d4c7fa7f37135917615d4</t>
  </si>
  <si>
    <t>68d6a814e8fd4138a2144d102e5307a0</t>
  </si>
  <si>
    <t>69/Т/135/20</t>
  </si>
  <si>
    <t>69/Т/177/20</t>
  </si>
  <si>
    <t>69/Т/534/20</t>
  </si>
  <si>
    <t>69/Т/702/20</t>
  </si>
  <si>
    <t>690/20</t>
  </si>
  <si>
    <t>690/20НВ/604/20</t>
  </si>
  <si>
    <t>691/20</t>
  </si>
  <si>
    <t>6924e7c2040e4fd99b2b9833e4ca4d17</t>
  </si>
  <si>
    <t>694/20</t>
  </si>
  <si>
    <t>694ea039ca98447ea9afc5be0b860a78</t>
  </si>
  <si>
    <t>695/20</t>
  </si>
  <si>
    <t>6950457241674d418b483057200a2163</t>
  </si>
  <si>
    <t>696/20</t>
  </si>
  <si>
    <t>697/20</t>
  </si>
  <si>
    <t>698/20</t>
  </si>
  <si>
    <t>699/20</t>
  </si>
  <si>
    <t>6a695af111c6437982a9496025e279e9</t>
  </si>
  <si>
    <t>6aa2b2d3b36241b9976f3ce3d02044af</t>
  </si>
  <si>
    <t>6ae21e4a847b41d08341ff7e7f1d7415</t>
  </si>
  <si>
    <t>6b2adea3c4f44620bd44853522740574</t>
  </si>
  <si>
    <t>6b3f20c9c2914c1db1b9dba7ad950647</t>
  </si>
  <si>
    <t>6ba8f2c9f585461488ed95b78cc6af4b</t>
  </si>
  <si>
    <t>6bc257e9761f409b9d8e8eff5afb195e</t>
  </si>
  <si>
    <t>6bf1ffe0ce39476ab826d21819b64622</t>
  </si>
  <si>
    <t>6bff678b27a34d44b9681802b9f9faf5</t>
  </si>
  <si>
    <t>6c4155bdbfff4f72a79532e38d7bd9dc</t>
  </si>
  <si>
    <t>6c54659eadf94e7088e14af05de28513</t>
  </si>
  <si>
    <t>6df20bca1d69498db00eee4b934bdce0</t>
  </si>
  <si>
    <t>6e01a35eecb742da8c97a3f886e42ec2</t>
  </si>
  <si>
    <t>6e10935feef3454abc3373d1928e53a9</t>
  </si>
  <si>
    <t>6e19bf7b10194e1583ca1d68e757bb50</t>
  </si>
  <si>
    <t>6e4ff9b8981441b594f5bd613e75fb6a</t>
  </si>
  <si>
    <t>6e544fa94d514b38bae5a180aff89784</t>
  </si>
  <si>
    <t>6e894f781fbf45349de36f3bac09045c</t>
  </si>
  <si>
    <t>6f059033cfd84636a2ff840ad82bdabf</t>
  </si>
  <si>
    <t>6f0f4ee0969c470dbe5687c7082aaeb9</t>
  </si>
  <si>
    <t>6f3ec56fe6a54a7397fc1e607f5f4e4d</t>
  </si>
  <si>
    <t>6f67cee0cdb441e8953d9acce171e36a</t>
  </si>
  <si>
    <t>6f75358f13c54618aa2a3870a2b1bb92</t>
  </si>
  <si>
    <t>6f7c4c689460405ebda799f1c2ae2af3</t>
  </si>
  <si>
    <t>6fa616d0a8c1400c96fe869cbff49947</t>
  </si>
  <si>
    <t>6fbb986433bd472a8e8ba596199971f3</t>
  </si>
  <si>
    <t>7/144/20</t>
  </si>
  <si>
    <t>7/20</t>
  </si>
  <si>
    <t>7/995/20</t>
  </si>
  <si>
    <t>700/20</t>
  </si>
  <si>
    <t>701/20</t>
  </si>
  <si>
    <t>705/20</t>
  </si>
  <si>
    <t>706/20</t>
  </si>
  <si>
    <t>706374ecc8e1461d9fe02bf25683969d</t>
  </si>
  <si>
    <t>70750b91d46443338401d95ec6473e60</t>
  </si>
  <si>
    <t>709/20</t>
  </si>
  <si>
    <t>70dcf01225cc43d1a7ef11792ba655f1</t>
  </si>
  <si>
    <t>711/20</t>
  </si>
  <si>
    <t>712/20</t>
  </si>
  <si>
    <t>71240000-2 Архітектурні, інженерні та планувальні послуги</t>
  </si>
  <si>
    <t>71248000-8 Технічний нагляд за проектами та документацією</t>
  </si>
  <si>
    <t>713/20</t>
  </si>
  <si>
    <t>71319000-7 Експертні послуги</t>
  </si>
  <si>
    <t>71320000-7 Послуги з інженерного проектування</t>
  </si>
  <si>
    <t>714/20</t>
  </si>
  <si>
    <t>715/20</t>
  </si>
  <si>
    <t>71520000-9 Послуги з нагляду за виконанням будівельних робіт</t>
  </si>
  <si>
    <t>71520000-9 Послуги з технічного нагляду за виконанням будівельних робіт</t>
  </si>
  <si>
    <t>716/20</t>
  </si>
  <si>
    <t>71630000-3 Послуги з технічного огляду та випробовувань</t>
  </si>
  <si>
    <t>717/20</t>
  </si>
  <si>
    <t>717ee40e2856478592628741d79ec92d</t>
  </si>
  <si>
    <t>718/20</t>
  </si>
  <si>
    <t>718ca1177e614fe6b987ef76898f1663</t>
  </si>
  <si>
    <t>719/20</t>
  </si>
  <si>
    <t>71900000-7 Лабораторні послуги</t>
  </si>
  <si>
    <t>71abc94d463b4ad9b46f354a92de86ab</t>
  </si>
  <si>
    <t>71e8005d82604b86866c9afa186f5476</t>
  </si>
  <si>
    <t>721/20</t>
  </si>
  <si>
    <t>721d5b372c004a3092fac7eabf92e7e1</t>
  </si>
  <si>
    <t>722/20</t>
  </si>
  <si>
    <t>72260000-5 Послуги, пов’язані з програмним забезпеченням</t>
  </si>
  <si>
    <t>723/517/20</t>
  </si>
  <si>
    <t>724/496/20</t>
  </si>
  <si>
    <t>72411000-4 Постачальники Інтернет-послуг</t>
  </si>
  <si>
    <t>725/20</t>
  </si>
  <si>
    <t>7260a077abcd4de4a4e9d88135efa3f8</t>
  </si>
  <si>
    <t>72a8bccdff894b18a7b1d01f668f93ea</t>
  </si>
  <si>
    <t>73/20</t>
  </si>
  <si>
    <t>730/20</t>
  </si>
  <si>
    <t>733/20</t>
  </si>
  <si>
    <t>734/20</t>
  </si>
  <si>
    <t>735/20</t>
  </si>
  <si>
    <t>7354714723854cf2b8536eb6d5560dae</t>
  </si>
  <si>
    <t>735f56b67c044ab886eec36a900b9519</t>
  </si>
  <si>
    <t>736/20</t>
  </si>
  <si>
    <t>737/20</t>
  </si>
  <si>
    <t>738/20</t>
  </si>
  <si>
    <t>738ac861b5654639b75387ab61514697</t>
  </si>
  <si>
    <t>739/20</t>
  </si>
  <si>
    <t>73bafce72b634b99890aa674bbd103a8</t>
  </si>
  <si>
    <t>74/20</t>
  </si>
  <si>
    <t>740/20</t>
  </si>
  <si>
    <t>741/20</t>
  </si>
  <si>
    <t>744/20</t>
  </si>
  <si>
    <t>745/20</t>
  </si>
  <si>
    <t>746/20</t>
  </si>
  <si>
    <t>747/20</t>
  </si>
  <si>
    <t>7477d6b0fcba48c2b94f816d640ffe91</t>
  </si>
  <si>
    <t>748/20</t>
  </si>
  <si>
    <t>749/20</t>
  </si>
  <si>
    <t>74f7044264054f3a822c983aa026e5cd</t>
  </si>
  <si>
    <t>750/20</t>
  </si>
  <si>
    <t>751/20</t>
  </si>
  <si>
    <t>751abbe124f4457483e152b852bfcd43</t>
  </si>
  <si>
    <t>751d111a35ec42318305cca27be4fd68</t>
  </si>
  <si>
    <t>752/20</t>
  </si>
  <si>
    <t>75250000-3 Послуги пожежних і рятувальних служб</t>
  </si>
  <si>
    <t>753/20</t>
  </si>
  <si>
    <t>7530ea6a479848a3b3593298351496a5</t>
  </si>
  <si>
    <t>754344c1aafd453da57e114e04b47c78</t>
  </si>
  <si>
    <t>755/20</t>
  </si>
  <si>
    <t>755be800c0a5490e83c114022f2fd71b</t>
  </si>
  <si>
    <t>756/20</t>
  </si>
  <si>
    <t>758/20</t>
  </si>
  <si>
    <t>759/20</t>
  </si>
  <si>
    <t>75e14bad8e2a4e46874fb06fba7a59bf</t>
  </si>
  <si>
    <t>76/20</t>
  </si>
  <si>
    <t>76/546/20</t>
  </si>
  <si>
    <t>760/20</t>
  </si>
  <si>
    <t>760/20НВ/723/20</t>
  </si>
  <si>
    <t>761/20</t>
  </si>
  <si>
    <t>762/20</t>
  </si>
  <si>
    <t>763/20</t>
  </si>
  <si>
    <t>763e50e4e3904dfeb4ee915d7994293d</t>
  </si>
  <si>
    <t>764/20</t>
  </si>
  <si>
    <t>765/20</t>
  </si>
  <si>
    <t>766/20</t>
  </si>
  <si>
    <t>767/20</t>
  </si>
  <si>
    <t>768aeb0a8e7b44c184ef88f37ff1bc05</t>
  </si>
  <si>
    <t>769/20</t>
  </si>
  <si>
    <t>76b20212cf614f9b9a348a2c6505e154</t>
  </si>
  <si>
    <t>76d3edc7224f46b493706c861bcae938</t>
  </si>
  <si>
    <t>77/20</t>
  </si>
  <si>
    <t>7706f4c76e4441b08eec60d2200c3847</t>
  </si>
  <si>
    <t>771b23014ea84b4e890d92db3a45a67f</t>
  </si>
  <si>
    <t>773/20</t>
  </si>
  <si>
    <t>774/20</t>
  </si>
  <si>
    <t>775/20</t>
  </si>
  <si>
    <t>776c8d8f38ba4200b8f5f046d3c79fcf</t>
  </si>
  <si>
    <t>777e6a9bedff4ea7bdb0921d4b3be5e8</t>
  </si>
  <si>
    <t>778/20</t>
  </si>
  <si>
    <t>78efc4616d4941e7aa6fbebdfe22828f</t>
  </si>
  <si>
    <t>79713000-5 Послуги з охорони об’єктів та особистої охорони</t>
  </si>
  <si>
    <t>7977a57626354664a99d5313fb3c695f</t>
  </si>
  <si>
    <t>799/20</t>
  </si>
  <si>
    <t>79d3e6591d5b4ecb8a56034ef1011f49</t>
  </si>
  <si>
    <t>7a05bc1c69944030bf4692a96768e2c8</t>
  </si>
  <si>
    <t>7a763f686a764b4b94ebe972c54d60b4</t>
  </si>
  <si>
    <t>7a8dd399ef35401a974ffca05e2fbb84</t>
  </si>
  <si>
    <t>7ae51ee64f80400c9956861ed8a999e4</t>
  </si>
  <si>
    <t>7b56270cdc824ffc9f9596cc7a3c1e08</t>
  </si>
  <si>
    <t>7b969e555c994ff588e912d027bb7de9</t>
  </si>
  <si>
    <t>7c26f43e4dba476d8d21187a0479c2e2</t>
  </si>
  <si>
    <t>7c39ee25f48941e59a40e5ec7788925a</t>
  </si>
  <si>
    <t>7c4a2b7908ff46aa83eb25b580ab8701</t>
  </si>
  <si>
    <t>7c8a59610f7145c692dcef21fa3230b1</t>
  </si>
  <si>
    <t>7cd5f1aedfb944f6a6c9c00e099a9d9a</t>
  </si>
  <si>
    <t>7d1f9462f39242668064a0def4a09be6</t>
  </si>
  <si>
    <t>7dab90a26935473692f1c242c7798e01</t>
  </si>
  <si>
    <t>7dd1b746f60b4a098ae9655892b02ebe</t>
  </si>
  <si>
    <t>7deaa73ea39744c4b7e7dbcf219b3a55</t>
  </si>
  <si>
    <t>7e3a16f587f74f698c7ba5b4852715a6</t>
  </si>
  <si>
    <t>7eabda16e8bf455cab6121760ef0333c</t>
  </si>
  <si>
    <t>7f84a1326589455a8f735451328db545</t>
  </si>
  <si>
    <t>7fa32210dfcb409fb75d4a4b5c55d06e</t>
  </si>
  <si>
    <t>8/20/20</t>
  </si>
  <si>
    <t>8/г/768/20</t>
  </si>
  <si>
    <t>800/20</t>
  </si>
  <si>
    <t>80088b3059c14c74b8686d54bce5263a</t>
  </si>
  <si>
    <t>801/20</t>
  </si>
  <si>
    <t>802b81e5aefe478bab37df96e44a45c2</t>
  </si>
  <si>
    <t>80300000-7 Послуги у сфері вищої освіти</t>
  </si>
  <si>
    <t>80500000-9 Навчальні послуги</t>
  </si>
  <si>
    <t>80510000-2 Послуги з професійної підготовки спеціалістів</t>
  </si>
  <si>
    <t>80511000-9 Послуги з навчання персоналу</t>
  </si>
  <si>
    <t>806d5bd7d14a483e91099b06f241971a</t>
  </si>
  <si>
    <t>808/20НВ/776/20</t>
  </si>
  <si>
    <t>80ca90826118487fb051cd9874d88c03</t>
  </si>
  <si>
    <t>811/1/385/20</t>
  </si>
  <si>
    <t>811/99/20</t>
  </si>
  <si>
    <t>813/20</t>
  </si>
  <si>
    <t>815/20</t>
  </si>
  <si>
    <t>816/20</t>
  </si>
  <si>
    <t>817/20</t>
  </si>
  <si>
    <t>818/20</t>
  </si>
  <si>
    <t>818cd76cb9d541529fb944deca85e43b</t>
  </si>
  <si>
    <t>819/20</t>
  </si>
  <si>
    <t>81bb46edaced4add8083daf074bfc1b8</t>
  </si>
  <si>
    <t>81c8f87c0a584735a55f3b235f813e7b</t>
  </si>
  <si>
    <t>81cf7e4a60c84e579a79e1dfa06e39b1</t>
  </si>
  <si>
    <t>820/20</t>
  </si>
  <si>
    <t>820/602/20</t>
  </si>
  <si>
    <t>821/20</t>
  </si>
  <si>
    <t>821fcd94eb3246ddb3db714f4e53fa06</t>
  </si>
  <si>
    <t>822/20</t>
  </si>
  <si>
    <t>823/20</t>
  </si>
  <si>
    <t>824/20</t>
  </si>
  <si>
    <t>825/20</t>
  </si>
  <si>
    <t>826/20</t>
  </si>
  <si>
    <t>8268fd6e577b4b0db05f256a07e7f4cd</t>
  </si>
  <si>
    <t>8272454ae7574ea7b0c4deb25d360223</t>
  </si>
  <si>
    <t>829/20</t>
  </si>
  <si>
    <t>82b98a9ecdef4f2899e809a04cd5504f</t>
  </si>
  <si>
    <t>830/20</t>
  </si>
  <si>
    <t>832/20</t>
  </si>
  <si>
    <t>8323f10d2d944aeab5db5e405dc18562</t>
  </si>
  <si>
    <t>8385ac856e424a24812beb9cb2d2320c</t>
  </si>
  <si>
    <t>839/20НВ/879/20</t>
  </si>
  <si>
    <t>83bd5a9e16794b7fb9c9e237889d3a73</t>
  </si>
  <si>
    <t>83c0eec974d94379b8a4967f130cc8aa</t>
  </si>
  <si>
    <t>83c89685d51a4ba7a4a6008a9e684bcf</t>
  </si>
  <si>
    <t>83d74d0acf8a4e31a839bc33b4069d2c</t>
  </si>
  <si>
    <t>83f24700a46a4dc59f2919c15a38abd0</t>
  </si>
  <si>
    <t>83f38019284e46a8bb32e0da5646a958</t>
  </si>
  <si>
    <t>84/20</t>
  </si>
  <si>
    <t>84cff71c29334b6a85d5a133ebc8df70</t>
  </si>
  <si>
    <t>84d0cb4d4fea4280afcafdae0bbd0d94</t>
  </si>
  <si>
    <t>84d6ea717e454ac0b215b60310fef46a</t>
  </si>
  <si>
    <t>84ed9a4ac4c34c2fa4d82fbe648c8036</t>
  </si>
  <si>
    <t>84f90eee093c47f58aa73ee91b27bc32</t>
  </si>
  <si>
    <t>85/20</t>
  </si>
  <si>
    <t>8500a121c4b74c69b746b5255486981b</t>
  </si>
  <si>
    <t>8500b7d2e99b4e46abec962ef428eaa9</t>
  </si>
  <si>
    <t>85140000-2 - Послуги у сфері охорони здоров'я різні (промивка, продувка та дезінфекція кисневого трубопроводу)</t>
  </si>
  <si>
    <t>85140000-2 Послуги у сфері охорони здоров’я різні</t>
  </si>
  <si>
    <t>852/20</t>
  </si>
  <si>
    <t>853/20</t>
  </si>
  <si>
    <t>85320000-8 Соціальні послуги</t>
  </si>
  <si>
    <t>85320000-8 Соціальні послуги (відшкодування коштів за відпуск медикаментів за безкоштовними пільговими рецептами)</t>
  </si>
  <si>
    <t>854/20</t>
  </si>
  <si>
    <t>855/20</t>
  </si>
  <si>
    <t>855048508e7c4b7d8efaa0c81112fca2</t>
  </si>
  <si>
    <t>856/20</t>
  </si>
  <si>
    <t>858/20</t>
  </si>
  <si>
    <t>859/20</t>
  </si>
  <si>
    <t>85f1fb7c293c4c7f8be01c88cb03b52a</t>
  </si>
  <si>
    <t>85f64540fbad4338b6ed0fc3ee8195c0</t>
  </si>
  <si>
    <t>86/20</t>
  </si>
  <si>
    <t>860/20</t>
  </si>
  <si>
    <t>861/20</t>
  </si>
  <si>
    <t>862/20</t>
  </si>
  <si>
    <t>863/20</t>
  </si>
  <si>
    <t>864/20</t>
  </si>
  <si>
    <t>865/20</t>
  </si>
  <si>
    <t>866/20</t>
  </si>
  <si>
    <t>867/20</t>
  </si>
  <si>
    <t>867c4015f20145cf8dbdfd6e351a94ab</t>
  </si>
  <si>
    <t>868/20</t>
  </si>
  <si>
    <t>86825f021720453c8cf6043c46e9f645</t>
  </si>
  <si>
    <t>869/20</t>
  </si>
  <si>
    <t>869bd0f9688f43bbb04da8a1f1e6ab40</t>
  </si>
  <si>
    <t>870/20</t>
  </si>
  <si>
    <t>871/20</t>
  </si>
  <si>
    <t>872/20</t>
  </si>
  <si>
    <t>873/20</t>
  </si>
  <si>
    <t>874/20</t>
  </si>
  <si>
    <t>875/20</t>
  </si>
  <si>
    <t>87776daac7dd43188c6c57f23fe39382</t>
  </si>
  <si>
    <t>87a1ae8992e44d08aab3485b8f9a4eca</t>
  </si>
  <si>
    <t>87b49496a7454666886f6b1149bbc525</t>
  </si>
  <si>
    <t>87f30c740c1c42aea446964a13d6199e</t>
  </si>
  <si>
    <t>87f5ac482c624a3a87c4ba4a81c12793</t>
  </si>
  <si>
    <t>880/20</t>
  </si>
  <si>
    <t>881/20</t>
  </si>
  <si>
    <t>882/20</t>
  </si>
  <si>
    <t>883/20</t>
  </si>
  <si>
    <t>884/20</t>
  </si>
  <si>
    <t>885/20</t>
  </si>
  <si>
    <t>88548dd0161b436f8eb5a7f23fea862c</t>
  </si>
  <si>
    <t>886/20</t>
  </si>
  <si>
    <t>888fcf525a3542a0a3176c4f377a6ffe</t>
  </si>
  <si>
    <t>889/20</t>
  </si>
  <si>
    <t>88921af6bac241eb921727e443c6fc4f</t>
  </si>
  <si>
    <t>88a1d43e11f64ffb8c5df7de41ba8207</t>
  </si>
  <si>
    <t>88fec03bf1764b2dad50e9744a4351b4</t>
  </si>
  <si>
    <t>89/20</t>
  </si>
  <si>
    <t>891/20</t>
  </si>
  <si>
    <t>892/20</t>
  </si>
  <si>
    <t>894/20</t>
  </si>
  <si>
    <t>8941f5e3296f494cb389383db5ba794b</t>
  </si>
  <si>
    <t>895/20</t>
  </si>
  <si>
    <t>8950bd3785fb4b6a8e53009e0ae0ad63</t>
  </si>
  <si>
    <t>895f9f5153394fd7a1734567eb379e86</t>
  </si>
  <si>
    <t>89632f47691048eabd51d8f425dbdfe0</t>
  </si>
  <si>
    <t>897/20</t>
  </si>
  <si>
    <t>898/20</t>
  </si>
  <si>
    <t>899/20</t>
  </si>
  <si>
    <t>89bb762d697c429ab966acfefd3a194d</t>
  </si>
  <si>
    <t>89de7e900190497d956d3f313b913403</t>
  </si>
  <si>
    <t>89f846e7116f418aaf943c4f9d992aff</t>
  </si>
  <si>
    <t>8a0d851394c74ff190b12cd7950bf205</t>
  </si>
  <si>
    <t>8ad34ac066e5463295970f751c989f1f</t>
  </si>
  <si>
    <t>8b5c2c1bd1e6449fb05623a0c8b2d7cf</t>
  </si>
  <si>
    <t>8b996ea09b1e419599c311266242c355</t>
  </si>
  <si>
    <t>8bae2702f67a4acf8cdcc5b82d230317</t>
  </si>
  <si>
    <t>8bc82c82afff4a7583ddba3bf6144c07</t>
  </si>
  <si>
    <t>8c2a9ac4a0fd4d819df531636bb25144</t>
  </si>
  <si>
    <t>8d86d0159ef847c5a4a4e02ba230be3f</t>
  </si>
  <si>
    <t>8db52311373c47abba73ac11b6348921</t>
  </si>
  <si>
    <t>8dc1ce22bca740bea64b997139c71127</t>
  </si>
  <si>
    <t>8e3b4dc281bc48ae89b9ff88eb8652df</t>
  </si>
  <si>
    <t>8e52dac68a02404d825ec48b6d044b4f</t>
  </si>
  <si>
    <t>8ee9365cb7564e829835592e60a9ebcf</t>
  </si>
  <si>
    <t>8f02606fa4ff4a04b91d685afeb26175</t>
  </si>
  <si>
    <t>8f6467fb54024f659cad61dd090e8756</t>
  </si>
  <si>
    <t>8fee78331b874b80b07d9bbe2cc48df2</t>
  </si>
  <si>
    <t>9/137/20</t>
  </si>
  <si>
    <t>9/69/20</t>
  </si>
  <si>
    <t>90/20</t>
  </si>
  <si>
    <t>900/20</t>
  </si>
  <si>
    <t>900e39d429ea4cccbdc1cbc0d598c742</t>
  </si>
  <si>
    <t>901/20</t>
  </si>
  <si>
    <t>902/20</t>
  </si>
  <si>
    <t>903/20</t>
  </si>
  <si>
    <t>904/20</t>
  </si>
  <si>
    <t>90430000-0 Послуги з відведення стічних вод</t>
  </si>
  <si>
    <t>905/20</t>
  </si>
  <si>
    <t>90510000-5 Утилізація/видалення сміття та поводження зі сміттям</t>
  </si>
  <si>
    <t>90520000-8 Послуги у сфері поводження з радіоактивними, токсичними, медичними та небезпечними відходами</t>
  </si>
  <si>
    <t>906/20</t>
  </si>
  <si>
    <t>907/20</t>
  </si>
  <si>
    <t>90710000-7 Екологічний менеджмент</t>
  </si>
  <si>
    <t>909/20</t>
  </si>
  <si>
    <t>90920000-2 Послуги із санітарно-гігієнічної обробки приміщень</t>
  </si>
  <si>
    <t>90920000-2 Послуги із санітарно-гігієнічної обробки приміщень (дератизація, дезинсекція)</t>
  </si>
  <si>
    <t>90d40b4bd4eb4930b298ba9f182ec248</t>
  </si>
  <si>
    <t>91/20</t>
  </si>
  <si>
    <t>910/20</t>
  </si>
  <si>
    <t>9107b38da7ed4f4590e1660e76a70682</t>
  </si>
  <si>
    <t>912/20</t>
  </si>
  <si>
    <t>913/20</t>
  </si>
  <si>
    <t>914/20</t>
  </si>
  <si>
    <t>915/20НВ/980/20</t>
  </si>
  <si>
    <t>916/20</t>
  </si>
  <si>
    <t>917/20</t>
  </si>
  <si>
    <t>919/20</t>
  </si>
  <si>
    <t>91985959545e48f69c704f7592c53120</t>
  </si>
  <si>
    <t>91aaaac2e2fd485bbecfd36722e510bb</t>
  </si>
  <si>
    <t>91b0c078198f432cbb28261de7d7f750</t>
  </si>
  <si>
    <t>91e1f3e7dd8c469e8c6a58738e8db960</t>
  </si>
  <si>
    <t>92/20</t>
  </si>
  <si>
    <t>9216afceb273450790b9da7e8f4349b3</t>
  </si>
  <si>
    <t>922/20</t>
  </si>
  <si>
    <t>923/20</t>
  </si>
  <si>
    <t>923b654a73a6463ebb58d856e3c87f59</t>
  </si>
  <si>
    <t>923ce5a70fb64258b208a0fdd27f38ac</t>
  </si>
  <si>
    <t>92457b7052c149848db01aa5a101f917</t>
  </si>
  <si>
    <t>925/20</t>
  </si>
  <si>
    <t>926/20</t>
  </si>
  <si>
    <t>927/20</t>
  </si>
  <si>
    <t>9288fcc4282142d08230b1d02837b895</t>
  </si>
  <si>
    <t>928d28c212324c28944ffbc9a671bc20</t>
  </si>
  <si>
    <t>929/20</t>
  </si>
  <si>
    <t>92f1aa7f05564a5abed09a8a59f823d8</t>
  </si>
  <si>
    <t>92f4c0f7daae429a9111274019e9a447</t>
  </si>
  <si>
    <t>93/20</t>
  </si>
  <si>
    <t>930/20</t>
  </si>
  <si>
    <t>931/20</t>
  </si>
  <si>
    <t>933/20</t>
  </si>
  <si>
    <t>933716b7ce504ce0b8a0a788a1709680</t>
  </si>
  <si>
    <t>934/20</t>
  </si>
  <si>
    <t>935/20</t>
  </si>
  <si>
    <t>936/20</t>
  </si>
  <si>
    <t>936dfd4b1b764c129cb2ad6230b03ff3</t>
  </si>
  <si>
    <t>937/20</t>
  </si>
  <si>
    <t>938/20</t>
  </si>
  <si>
    <t>93a4fb7ed8324ba3b94439583768c3c5</t>
  </si>
  <si>
    <t>93f07333a9cd44589aba5198e6c95408</t>
  </si>
  <si>
    <t>94/20</t>
  </si>
  <si>
    <t>940/20</t>
  </si>
  <si>
    <t>942f03367e254526997eb70aee5e8b96</t>
  </si>
  <si>
    <t>944/20</t>
  </si>
  <si>
    <t>949/20</t>
  </si>
  <si>
    <t>94cb397df0a74a8185c6783444875a03</t>
  </si>
  <si>
    <t>94d25f63a0af432780a1f19387698707</t>
  </si>
  <si>
    <t>94e9d5648996477b84da6dbceda4fe92</t>
  </si>
  <si>
    <t>95/20</t>
  </si>
  <si>
    <t>950/20</t>
  </si>
  <si>
    <t>953/20</t>
  </si>
  <si>
    <t>954/20</t>
  </si>
  <si>
    <t>955/20</t>
  </si>
  <si>
    <t>955/20НВ/1013/20</t>
  </si>
  <si>
    <t>956/20</t>
  </si>
  <si>
    <t>956321d36c9c4490b4c2786e558cd25d</t>
  </si>
  <si>
    <t>957/20</t>
  </si>
  <si>
    <t>958/20</t>
  </si>
  <si>
    <t>959/20</t>
  </si>
  <si>
    <t>95bfc90f248d416fad08f147d1691562</t>
  </si>
  <si>
    <t>96/20</t>
  </si>
  <si>
    <t>960/20</t>
  </si>
  <si>
    <t>961/20</t>
  </si>
  <si>
    <t>964/20</t>
  </si>
  <si>
    <t>965/20</t>
  </si>
  <si>
    <t>966/20</t>
  </si>
  <si>
    <t>967/20</t>
  </si>
  <si>
    <t>968/20</t>
  </si>
  <si>
    <t>968b5522b48c40178fd07f5cd9679974</t>
  </si>
  <si>
    <t>969/20</t>
  </si>
  <si>
    <t>96a715517f0949dcbae1a9e46e8047a6</t>
  </si>
  <si>
    <t>97/20</t>
  </si>
  <si>
    <t>970/20</t>
  </si>
  <si>
    <t>971/20</t>
  </si>
  <si>
    <t>974/20</t>
  </si>
  <si>
    <t>974c41230f06426eaa59a333c0911404</t>
  </si>
  <si>
    <t>976/20</t>
  </si>
  <si>
    <t>979a12f1f36b49f185ce5bda70992c8f</t>
  </si>
  <si>
    <t>98/20</t>
  </si>
  <si>
    <t>98110000-7 Послуги підприємницьких, професійних та спеціалізованих організацій</t>
  </si>
  <si>
    <t>982/20</t>
  </si>
  <si>
    <t>9829c9ce15b44f808e8a709556d790de</t>
  </si>
  <si>
    <t>983/20</t>
  </si>
  <si>
    <t>98390000-3 Інші послуги</t>
  </si>
  <si>
    <t>984/20</t>
  </si>
  <si>
    <t>985/20</t>
  </si>
  <si>
    <t>98773d5206404aa69ef889017b7155a8</t>
  </si>
  <si>
    <t>989/20</t>
  </si>
  <si>
    <t>98bf1b81262748b397a9b05c8101ae4a</t>
  </si>
  <si>
    <t>990/20</t>
  </si>
  <si>
    <t>99018a5979cb4792a65c22f3e199b3a4</t>
  </si>
  <si>
    <t>993/20</t>
  </si>
  <si>
    <t>994/20</t>
  </si>
  <si>
    <t>9954c29fab454a32bc2663888b6d4b75</t>
  </si>
  <si>
    <t>996/20</t>
  </si>
  <si>
    <t>997/20</t>
  </si>
  <si>
    <t>99a12a6fc3654bcaa3a348f79f0a6507</t>
  </si>
  <si>
    <t>99ed8bf0b7e443c5a68fd86af94384df</t>
  </si>
  <si>
    <t>9a0a20c5d56346c9bab972d9ad162cce</t>
  </si>
  <si>
    <t>9a308349c0ad4e7db198e74ff9e8e86e</t>
  </si>
  <si>
    <t>9ad16e99282f4d9f82db0044b7ffff09</t>
  </si>
  <si>
    <t>9ad3dc09c3a348a180424adb757211f7</t>
  </si>
  <si>
    <t>9ae3c94e4b87470180f1b7ff5a42289e</t>
  </si>
  <si>
    <t>9b5605ce2ad24259b28fb6be0f6c96db</t>
  </si>
  <si>
    <t>9bad0f72c99249458aac78424a2c8c8f</t>
  </si>
  <si>
    <t>9bb4ce8d56f0476f8dadc4599483b718</t>
  </si>
  <si>
    <t>9bc9a41081084ad192dfe569bb1bf42b</t>
  </si>
  <si>
    <t>9bec24bf524448f697673e85e94df625</t>
  </si>
  <si>
    <t>9c0146da7bfc4d60b6cbaeea897dd4b4</t>
  </si>
  <si>
    <t>9c10740d55ee4014aa730c7929f33fe0</t>
  </si>
  <si>
    <t>9c4d0ab5940d40fe882af1c69bde6095</t>
  </si>
  <si>
    <t>9c64965df1b640e5b4f0e962ca340dc1</t>
  </si>
  <si>
    <t>9c9acc3891fc4323b0dd329732af27e1</t>
  </si>
  <si>
    <t>9cf7f220c50444c7af55b0344a69b9e8</t>
  </si>
  <si>
    <t>9d09c4ef1b774c19a17695a9503832cb</t>
  </si>
  <si>
    <t>9d27d61df1624219abab4b8ab75a6c12</t>
  </si>
  <si>
    <t>9d483851357e48f6af3abc6a7e3550a9</t>
  </si>
  <si>
    <t>9d7d2084d911435faeb7b249b3f51f6a</t>
  </si>
  <si>
    <t>9d7e623f8a7b4eff82fbf4ffd5c26812</t>
  </si>
  <si>
    <t>9dfd1fa7af3544bf95e43ebcb57c2d2b</t>
  </si>
  <si>
    <t>9e2f174d4ec742deb1fd1e1c828fc17e</t>
  </si>
  <si>
    <t>9e349cbd2a2a4301939a6633dd95054f</t>
  </si>
  <si>
    <t>9e96d42618694dfd92f724a29ac08445</t>
  </si>
  <si>
    <t>9ea6e40b95c346ae9eacacd061f84187</t>
  </si>
  <si>
    <t>9f39508a55fe478b8f1065695a8d7610</t>
  </si>
  <si>
    <t>9f5f63304cfa46ce8c5d8170ac0ad0fa</t>
  </si>
  <si>
    <t>ID контракту</t>
  </si>
  <si>
    <t>L-Лізину есцинат р-н д/ін. 1 мг/мл амп. 5 мл №10; Алмірал р-н д/ін. 75мг амп. 3мл №5; Амінокапронова к-та р/ін. 5% 100 мл пляш.; Анальгін р-н д/ін. 50% амп. 2 мл №10; Аскорбінова кислота р-н д/н. 5% амп. 2 мл №10; Аспаркам р-н д/ін. амп. 5 мл №10; Бензогексоній р-н д/ін. 2,5% амп. 1 мл №10; Бісопролол табл. 5 мг №30; Ванкоміцин ліоф. фл .1000МГ №1; Верапаміл р-н д/ін. 2,5 мг/мл амп. 2 мл №10; Гепацеф пор. д/ін. 1000 мг №10; Дібазол р-н д/ін. 10 мг/мл амп. 5 ; Дімедрол р-н д/ін. 10 мг/мл амп. 1 мл №10; Дротаверин р-н д/ін. 20 мг/мл амп. 2 мл №5; Етамзілат р-н д/ін. 12,5% амп. 2 мл №10; Еуфілін р-н д/ін. 2% амп. 5 мл №10; Мурашиний спирт р-н фл. 50 мл; Нікотинова кислота р-н д/ін. 10 мг/мл амп. 1 мл №10; Платифілін р-н д/ін. 2 мг/мл амп. 1 мл №10; Рибоксин р/ін амп. 20мг/мл 5мл №10; Сульфокамфокаїн р-н д/ін. 100 мг/мл амп. 2 мл №10; Торсид р-н д/ін. 5 мг/мл амп. 4 мл №5; Фармадипін крап. орал. 2% фл. 25 мл; Атракурiум-Ново р-н д/ін. 10мг/мл 5 мл фл. №5</t>
  </si>
  <si>
    <t>L-Лізину есцинат р-н д/ін. 1 мг/мл амп. 5 мл №10; Анальгін р-н д/ін. 50% амп. 2 мл №10; Аспаркам р-н д/ін. амп. 5 мл №10; Бензогексоній р-н д/ін. 2,5% амп. 1 мл №10; Ванкоміцин ліоф. фл .1000МГ №1; Верапаміл р-н д/ін. 2,5 мг/мл амп. 2 мл №10; Нікотинова кислота р-н д/ін. 10 мг/мл амп. 1 мл №10; Аскорбінова кислота р-н д/н. 5% амп. 2 мл №10; Піридоксин р-н д/ін. 50 мг амп. 1 мл №10; Гепацеф пор. д/ін. 1000 мг №10; Гідазепам IC табл. 20 мг №20; Глюкоза р-н інф. 10% пляш. 200 мл; Глюкоза р-н д/ін. 40% амп. 10 мл №10; Диклофенак р-н д/ін. 25 мг/мл амп. 3 мл №10; Дібазол р-н д/ін. 10 мг/мл амп. 5 мл №10; Дігоксин р-н д/ін. 0,25 мг/мл амп. 1 мл №10; Дімедрол р-н д/ін. 10 мг/мл амп. 1 мл №10; Дитилін-Біолік р-н д/ін. 20 мг/мл амп. 5 мл №10; Етамзілат р-н д/ін. 12,5% амп. 2 мл №10; Еуфілін р-н д/ін. 20 мг/мл амп. 5 мл №10; Йод р-н 5% фл  20 мл; Ізо-мік конц. д/інф. 0,1% амп. 10 мл №10; Кальція хлорид р-н д/ін. 100 мг/мл амп. 5 мл №10; Корглікон р-н д/ін. 0,6 мг/мл амп. 1 мл №10; Натрія кофеїн-бензоат р-н д/ін. 200 мг/мл амп. 1 мл №10; Дротаверин р-н д/ін. 20 мг/мл амп. 2 мл №5; Папаверин р-н д/ін. 2% амп. 2 мл №10; Перекись водню р-н 3% фл. 100 мл ; Плазмовен р-н д/інф. фл. 500мл №1; Протамін р-р д/ін. 1000 МЕ/мл фл. 5 мл №5; Мурашиний спирт р-н фл. 50 мл .; Сульфокамфокаїн р-н д/ін. 100 мг/мл амп. 2 мл №10; Стерофундин Iso р-н інф. контейн. 500 мл №10; Тазпен пор.д/р-рад/ін. иінф. 4г /0.5г №1фл.; Натрію хлорид р-р інф. 0,9% бут. 400 мл п/е</t>
  </si>
  <si>
    <t>a0bcefc1813f4be5add14cf20ceb5f9e</t>
  </si>
  <si>
    <t>a0e374cb5bfb43ea9f2eecf43af31ab3</t>
  </si>
  <si>
    <t>a11a0b75506241fd824d9d6d663f562e</t>
  </si>
  <si>
    <t>a1b23f0688e1435f8e3a8259ba5b4c41</t>
  </si>
  <si>
    <t>a1b7458137454650aa92a09839789cf2</t>
  </si>
  <si>
    <t>a24ee55d9f8446ed992661d979d4bc9a</t>
  </si>
  <si>
    <t>a2502d8002054ffaa32081ae9d8e340b</t>
  </si>
  <si>
    <t>a2b025ea14bb42989106d688c008895d</t>
  </si>
  <si>
    <t>a2f6684b0a2c4b51a00437833196f84d</t>
  </si>
  <si>
    <t>a3b7cff03cc84a8fa23ae8b6c7649f65</t>
  </si>
  <si>
    <t>a3d75aa75a0646a0b5ecff216008a6b3</t>
  </si>
  <si>
    <t>a44354d0857d47379a62f70a7fed356e</t>
  </si>
  <si>
    <t>a451cb1d115b4b5a82a9085f69c8afec</t>
  </si>
  <si>
    <t>a4695529e3e846fdaa3b48fce96dcda9</t>
  </si>
  <si>
    <t>a469e698687c4d9b8b342ea762bbb722</t>
  </si>
  <si>
    <t>a47395dd529f40e083d5ed1d8db8952a</t>
  </si>
  <si>
    <t>a47a018a2d144a559b4645666e29e195</t>
  </si>
  <si>
    <t>a4afc5d001384f5a89a16cb8171923f5</t>
  </si>
  <si>
    <t>a514f06c70024cc9bf173ef3064c6f0c</t>
  </si>
  <si>
    <t>a57082ce13474e218481507f4bd21b03</t>
  </si>
  <si>
    <t>a573658601a14d63874f0b2b372a6316</t>
  </si>
  <si>
    <t>a5a170573df84d378b4bb484c0a7f197</t>
  </si>
  <si>
    <t>a646f389157b44a2972051eff3586163</t>
  </si>
  <si>
    <t>a6927eb0402f4db6ab713c7280865c16</t>
  </si>
  <si>
    <t>a6c79557d477499a99766aaa28eb30e7</t>
  </si>
  <si>
    <t>a70918253a3344e2ace96ee1f2a24065</t>
  </si>
  <si>
    <t>a7a37d751e144eabb2ec433d7ba9bb0f</t>
  </si>
  <si>
    <t>a7ed4d1f65c04437996464851383bb89</t>
  </si>
  <si>
    <t>a829198af27c40f788122de953903ec4</t>
  </si>
  <si>
    <t>a868f8daffe143a18d70dabf47b0ec8d</t>
  </si>
  <si>
    <t>a8a70f95e2ff47009edb5abc95146ab3</t>
  </si>
  <si>
    <t>a8e497180b50479a90152cf4c19390e1</t>
  </si>
  <si>
    <t>a978cf7227984ffc8a05af90d858f11c</t>
  </si>
  <si>
    <t>aa1de723204545f8a974364002299e08</t>
  </si>
  <si>
    <t>aa1e2baeb5744f65890030ecaee67ee7</t>
  </si>
  <si>
    <t>aa89c6e499674d6683cc9fc774bfdf44</t>
  </si>
  <si>
    <t>aaa5b456b2a64b3a80d5bbc504b21367</t>
  </si>
  <si>
    <t>aaa71208edb24cc6a74c04691cc7b2a4</t>
  </si>
  <si>
    <t>aae25e51e79345b3a239c3505eaa23e0</t>
  </si>
  <si>
    <t>ab1a061a076b47479b199ceccce1eb57</t>
  </si>
  <si>
    <t>ab62f1ac6cb14835a3ae7fffd0c4bbc2</t>
  </si>
  <si>
    <t>ab732b1121514262860e97854e65432f</t>
  </si>
  <si>
    <t>abc3db595b584c97b06021ff104b808f</t>
  </si>
  <si>
    <t>ac823c5684af4d03a1e235049f4a5a53</t>
  </si>
  <si>
    <t>ad0f3656b8f14406b150a7c55f059b94</t>
  </si>
  <si>
    <t>ae52e00a11a24217b80ff0e1abe2502d</t>
  </si>
  <si>
    <t>aeee9f0bf17c43189c24c69e6a9b3e3f</t>
  </si>
  <si>
    <t>af8875a7df924a22a3e29907206ac47f</t>
  </si>
  <si>
    <t>af8e644ee324412b987fe4e5ccd5ce4f</t>
  </si>
  <si>
    <t>afc035cdcdbb4a5fa14605a1614edd38</t>
  </si>
  <si>
    <t>afca15889426413680a01c82b4116c39</t>
  </si>
  <si>
    <t>afcb7f10f46447bea16e85cdc917893d</t>
  </si>
  <si>
    <t>afd4adc84ca54f8b85632362a78a60bb</t>
  </si>
  <si>
    <t>b018cd015cf9444c9424699d0c36bc29</t>
  </si>
  <si>
    <t>b06431d93908406bb55b7f0f99803339</t>
  </si>
  <si>
    <t>b090537284094b2d9022f0bc19f600cc</t>
  </si>
  <si>
    <t>b1263e9fe48141769c201bbaf3a2fc7d</t>
  </si>
  <si>
    <t>b191f88f5ec44c1cb41afcc2de9891dd</t>
  </si>
  <si>
    <t>b1b5a0c26fdf41feb0707b5e8ca495c2</t>
  </si>
  <si>
    <t>b1bde579789b4fd0b19ec174e8b6f18a</t>
  </si>
  <si>
    <t>b224bd6f979242869ed0578a1528cbfc</t>
  </si>
  <si>
    <t>b24edd92516849f894b7d427ced9753c</t>
  </si>
  <si>
    <t>b27d253bb87049eab5887825917cd19a</t>
  </si>
  <si>
    <t>b2b9f6a901a3402f8559a315786f445a</t>
  </si>
  <si>
    <t>b2e492a654704e89b558a39e7686e253</t>
  </si>
  <si>
    <t>b2fb5fa95c0c44e891fd476725990870</t>
  </si>
  <si>
    <t>b33131ec787648e29e9ffce93400aea1</t>
  </si>
  <si>
    <t>b346ed0288d8480994d97921cc17f71d</t>
  </si>
  <si>
    <t>b3a0f1607f1f430e98b189096433c530</t>
  </si>
  <si>
    <t>b3b2ae5811454630ae624b1df1aab618</t>
  </si>
  <si>
    <t>b3b76f8305204373a81162fd2a3b77ba</t>
  </si>
  <si>
    <t>b3dda51e38784a52998c747c3c475ff4</t>
  </si>
  <si>
    <t>b3ef38362dd4429f9808c5e779a5fcdc</t>
  </si>
  <si>
    <t>b43ef947fd2b41d08b67f9f0a9fd197b</t>
  </si>
  <si>
    <t>b459037ddcf340048edfc009e3eaea15</t>
  </si>
  <si>
    <t>b48408bef23e46f786bc637a13fa5b3c</t>
  </si>
  <si>
    <t>b4b0a739b1d34176ba72cef9122f3dad</t>
  </si>
  <si>
    <t>b4b1724658224df2a834c36c4bd93526</t>
  </si>
  <si>
    <t>b53c0b200d1444dcbfeaa2ad90f7ea4c</t>
  </si>
  <si>
    <t>b5665213e05d4b85b3e18668af648420</t>
  </si>
  <si>
    <t>b5e3ce1108984236abaeb249c6f282b0</t>
  </si>
  <si>
    <t>b66f4e36a80b40c8989414df93dc9e77</t>
  </si>
  <si>
    <t>b6810488e703487baba98d563e69e202</t>
  </si>
  <si>
    <t>b692038f70204548ab4b67c3a9606397</t>
  </si>
  <si>
    <t>b7940977c6344f43a99ea5eb3fed68bb</t>
  </si>
  <si>
    <t>b7a15eda83b2438bb46791c5040f3c19</t>
  </si>
  <si>
    <t>b7bc25b488ad40fead265928e9d564d0</t>
  </si>
  <si>
    <t>b7c3228a1cd842d580ca9dee4f59d5b5</t>
  </si>
  <si>
    <t>b7e1e200579140d19830aa8ba2b12ab3</t>
  </si>
  <si>
    <t>b810c38ce9ad4a819951cfc6b883a4f8</t>
  </si>
  <si>
    <t>b8ede9c1a2cb4bc7972e6e23f9983e5e</t>
  </si>
  <si>
    <t>b905251e2c2d426ab267c1abe993ef3a</t>
  </si>
  <si>
    <t>b98e432d80ce41faa99d7ca0c8be1226</t>
  </si>
  <si>
    <t>ba180bbd1d02420a92021070bfb34a57</t>
  </si>
  <si>
    <t>ba422f3770cf4cb69b185a0e693216a7</t>
  </si>
  <si>
    <t>bb5c00e430a6464491a01d423cd4b579</t>
  </si>
  <si>
    <t>bb7e7823755943178142d02d48014f78</t>
  </si>
  <si>
    <t>bb94a37113054b16806fa893726dfbd4</t>
  </si>
  <si>
    <t>bba6d4de10cc42c88f3a4f566ced2448</t>
  </si>
  <si>
    <t>bbc75e0e6be741aca15d761e8aa7478d</t>
  </si>
  <si>
    <t>bbd63739026a4c42a6a179abec5dc1c6</t>
  </si>
  <si>
    <t>bc2932526fe1464dad4f89f766026b13</t>
  </si>
  <si>
    <t>bc482e9640ac464ebb655d686623f23e</t>
  </si>
  <si>
    <t>bc5434662c364d4a873aa97c3fda1fd1</t>
  </si>
  <si>
    <t>bc6a718b122242648e2a40b090bf4b1c</t>
  </si>
  <si>
    <t>bc9c5509f8b24a60954040b975ec335a</t>
  </si>
  <si>
    <t>bca471777ff94bed8dd28432088b9461</t>
  </si>
  <si>
    <t>bd0dc80f4bac412894ccfd725f99dfa6</t>
  </si>
  <si>
    <t>bd850c7f77b54c5dbbbde855bc45bfbb</t>
  </si>
  <si>
    <t>be090210cd1c41209ed90a1fe920aa38</t>
  </si>
  <si>
    <t>be1fc2aa97694fbf81e7fac41710f911</t>
  </si>
  <si>
    <t>be76ca3608dc4a82b8d298c47dd37364</t>
  </si>
  <si>
    <t>be9645c0a7784b26aaac3ceadb1ee106</t>
  </si>
  <si>
    <t>bed3b591884c4afbaa80485dbec2e40b</t>
  </si>
  <si>
    <t>beeebc0cc81a4c86af4d8babaea4fd60</t>
  </si>
  <si>
    <t>bfcfa54669224f8291e54db56a86db7e</t>
  </si>
  <si>
    <t>bff697f57d6d4e8291fcff191265a16c</t>
  </si>
  <si>
    <t>c06603251ead4b8486e84b6d58fe396e</t>
  </si>
  <si>
    <t>c0c38339723e435eabd59d65e8eee9b2</t>
  </si>
  <si>
    <t>c14d1daa84d143fa9434ea5963292c9b</t>
  </si>
  <si>
    <t>c1776fbcc1d645c9b06c0e2361900e81</t>
  </si>
  <si>
    <t>c23a547e14944b04b6ea7ae1f3ce1971</t>
  </si>
  <si>
    <t>c277a42434384335bea15749b89e9517</t>
  </si>
  <si>
    <t>c344e6f74f69461185154578e27a5ffd</t>
  </si>
  <si>
    <t>c4006ada08e24bc8a967d3413143ca57</t>
  </si>
  <si>
    <t>c4a2169302a14cdca569714816ed5454</t>
  </si>
  <si>
    <t>c4cf90098ca14acb9b390892b6ee7d40</t>
  </si>
  <si>
    <t>c544f36754a84de08d3616ecf0288692</t>
  </si>
  <si>
    <t>c567f3669b5c4ce988b75d3b48a6ec81</t>
  </si>
  <si>
    <t>c5ac1d86bbbd4d129156c9e76a41c25f</t>
  </si>
  <si>
    <t>c5b97fbd986a4e39afb852a8d767460a</t>
  </si>
  <si>
    <t>c5bfb48bdc114fdf9c6e7fb257f4f4fd</t>
  </si>
  <si>
    <t>c5d9491574e94582900f03dc5e267a35</t>
  </si>
  <si>
    <t>c5da7ef92c374291a5b6feaec5b7a669</t>
  </si>
  <si>
    <t>c62451a8a4664d27ac3c24583c86ab62</t>
  </si>
  <si>
    <t>c64c7507967d4f0394a1bd2bb30d8e7b</t>
  </si>
  <si>
    <t>c6cab40f94be49c3b84a3e7551bffdd1</t>
  </si>
  <si>
    <t>c6d1ab49ae1b4791b5e3d86dfa3de276</t>
  </si>
  <si>
    <t>c6e833c73dac4629a31cce69e2bb7a1f</t>
  </si>
  <si>
    <t>c6f8975b1d2b48518925a917f95b6168</t>
  </si>
  <si>
    <t>c7261978440a4b04986f484d54154485</t>
  </si>
  <si>
    <t>c745dfc629a14c87ab9bb0df5594bc8b</t>
  </si>
  <si>
    <t>c749c6ed9a0543e49ff7b50a40b1c72d</t>
  </si>
  <si>
    <t>c8d987aa752a459f8f243669453e657f</t>
  </si>
  <si>
    <t>c91b07b601b4474fac23d342cc2f8417</t>
  </si>
  <si>
    <t>c946b26460f347ed8ba6a477b48fae63</t>
  </si>
  <si>
    <t>c9854dbb3c274234866fbbca99bc60b8</t>
  </si>
  <si>
    <t>c9b61426820e4345a154e08bd4ba2395</t>
  </si>
  <si>
    <t>c9ec669d950a47e1a2336df042340506</t>
  </si>
  <si>
    <t>c9f944e4e14a4bf6b9922d863919c448</t>
  </si>
  <si>
    <t>c9fef8dc90804e0fae2b11c4005b55b0</t>
  </si>
  <si>
    <t>ca11cd1866c44d50970aa7e392b70f04</t>
  </si>
  <si>
    <t>ca2e98bcd91b4d9e828e29374a39e77f</t>
  </si>
  <si>
    <t>ca927aaf2f5d47ada44e55a4f69b7226</t>
  </si>
  <si>
    <t>caa6839f1a7f4654b41b6dcb4cb50814</t>
  </si>
  <si>
    <t>caaa487fbe194341b8cb9b91dfaf6eb5</t>
  </si>
  <si>
    <t>cb693ffa99a74912ac012150036ba6ab</t>
  </si>
  <si>
    <t>cb6ea499c9134d8e9034854c4cfb350d</t>
  </si>
  <si>
    <t>cbb52634266e4ece8eb8cad66912177d</t>
  </si>
  <si>
    <t>cc0b777fe6a04388ad154ea95c9dd057</t>
  </si>
  <si>
    <t>cc2f84edc434477d9147f7aa117be3a5</t>
  </si>
  <si>
    <t>cc658c229dec4d4ab212d36228e0fca2</t>
  </si>
  <si>
    <t>cca9204f67d6437a9f8c380ec968c8ad</t>
  </si>
  <si>
    <t>ce34a8234f7543da935d0bcfc290e4ae</t>
  </si>
  <si>
    <t>ce9b186dfa994019890b34f539b24736</t>
  </si>
  <si>
    <t>cea5aebfadbb48d58252ea874b3447e6</t>
  </si>
  <si>
    <t>cf304e9f965d41e9b663637445ec7d49</t>
  </si>
  <si>
    <t>cf4adec9e4dc451e9bbbd74dcdaa2b4c</t>
  </si>
  <si>
    <t>cf9dc5040e0c43db9c003aa15dd55dcc</t>
  </si>
  <si>
    <t>cfcf79e49fc04a73959185a8d12f3dfe</t>
  </si>
  <si>
    <t>d00e4a54aa1441218eec2e6128699597</t>
  </si>
  <si>
    <t>d03e40dfb1d34891af8d4b174d6f5f6c</t>
  </si>
  <si>
    <t>d041b69066674fc5a32a6a5c6e3c8ec5</t>
  </si>
  <si>
    <t>d0597e2a81594fac94277b4ab01ff5b0</t>
  </si>
  <si>
    <t>d0ba67051b8144c2ae86fd1ea78d1e7e</t>
  </si>
  <si>
    <t>d0cc7d8297a94d72ab5f4bbc9d1352f8</t>
  </si>
  <si>
    <t>d10e44c97ccd4b6284972c0c51c6e956</t>
  </si>
  <si>
    <t>d14ed665070f43a28f01b40b058c4a6e</t>
  </si>
  <si>
    <t>d1ed0c2b58c646d8bb2b1355d2f1c75d</t>
  </si>
  <si>
    <t>d29ab27572424403adde4b87fb5dab79</t>
  </si>
  <si>
    <t>d2abfa8c73ba461ab11f0c8c24ae68a7</t>
  </si>
  <si>
    <t>d2c1174f09384cea8c187a545f86b820</t>
  </si>
  <si>
    <t>d3d90d9a11184579822b03fbd5b5359c</t>
  </si>
  <si>
    <t>d3e2f348719e4c28a0f2da1281be70c3</t>
  </si>
  <si>
    <t>d3fbd590faa34dfabc46ea49b6b6880f</t>
  </si>
  <si>
    <t>d41187839fcf4e1ebb79cf1a1a5be3b3</t>
  </si>
  <si>
    <t>d426c8661df345008649a6f12f018313</t>
  </si>
  <si>
    <t>d469c255bfb34cbbb6d3ed5ba2538758</t>
  </si>
  <si>
    <t>d47d2eea966e49e4b25c8763d51af4a4</t>
  </si>
  <si>
    <t>d51d4a26fa2c45ea93531d1c6f0b34e3</t>
  </si>
  <si>
    <t>d5226e8065c54aecad67ba52cf45cddc</t>
  </si>
  <si>
    <t>d5332e0602d4456aa2a6ff652698017a</t>
  </si>
  <si>
    <t>d5426eb82e9f487688f952c277f08fe8</t>
  </si>
  <si>
    <t>d582270412a1449a847abd1da100dff5</t>
  </si>
  <si>
    <t>d5ebe47e37854cc8a4f523027f0174d9</t>
  </si>
  <si>
    <t>d5f0f41d6e1a47cdb14686af5c1c1680</t>
  </si>
  <si>
    <t>d627681ec2c843f09ccf6f9c622dce35</t>
  </si>
  <si>
    <t>d6d2671818a046ba8a694e742ca199b4</t>
  </si>
  <si>
    <t>d6f2f15c8f35470d98a462fcb3eb1c16</t>
  </si>
  <si>
    <t>d6f69256970d40709fc13687c6f7ae9e</t>
  </si>
  <si>
    <t>d7085017eb604dcfb675355d3eec46a1</t>
  </si>
  <si>
    <t>d7212179495a41c4bed11304e099e4bf</t>
  </si>
  <si>
    <t>d74f086996f64546935fbdac612f3c6f</t>
  </si>
  <si>
    <t>d7c555f9bb2c4804b47042da33573d38</t>
  </si>
  <si>
    <t>d7d1ea46a3cf4af1a6f611c41dafa262</t>
  </si>
  <si>
    <t>d80e3457190841b296858e43e89eb236</t>
  </si>
  <si>
    <t>d80edacf8242496aad467e4e89c88033</t>
  </si>
  <si>
    <t>d8249deb72ac4f5d9631ce9c49728202</t>
  </si>
  <si>
    <t>d824e69b03e145599e96bee27f2eed4c</t>
  </si>
  <si>
    <t>d84439220b6c4de49990aa2e101a039c</t>
  </si>
  <si>
    <t>d972b475dd924e4aa8a4c6315e9b0f6a</t>
  </si>
  <si>
    <t>d99a09ada1cf4cb9a6be749f1e7f6834</t>
  </si>
  <si>
    <t>da2a1c5fdf974326994d619c8f41cba0</t>
  </si>
  <si>
    <t>da861403747148178f75795d1fd4558e</t>
  </si>
  <si>
    <t>dac1d0e0233b42d6b18b0c2b2af8bdae</t>
  </si>
  <si>
    <t>dacb9bb83230449a88a3aafc64ca18fd</t>
  </si>
  <si>
    <t>dae00be0e5684191b4ae223152c8fda5</t>
  </si>
  <si>
    <t>db3ef4c6e48f497197c64669fa603eca</t>
  </si>
  <si>
    <t>db431d52a15a4376982915a2ca24b703</t>
  </si>
  <si>
    <t>db5c72a1ab84431dbc105f305cfa2724</t>
  </si>
  <si>
    <t>db848f60baed4c489e63b17d62d20709</t>
  </si>
  <si>
    <t>db9a99b3f87d49879fcfdf3c5ae5f6be</t>
  </si>
  <si>
    <t>dbe15e8a9aec4d6b97ba20c49cba22cb</t>
  </si>
  <si>
    <t>dbee884828494f2bb9f7b9aebd8b4601</t>
  </si>
  <si>
    <t>dbfb433addbc4103ad9c3187b920cb63</t>
  </si>
  <si>
    <t>dc1fcac995bd4a298797d65ddb4681c2</t>
  </si>
  <si>
    <t>dc45f83ecf6747999ed09a160fb33213</t>
  </si>
  <si>
    <t>dc51910a40d74c66adacb8a48b57ac39</t>
  </si>
  <si>
    <t>dc8356fb43434981a2115fdd52b323e6</t>
  </si>
  <si>
    <t>dc8f5abb902045c19fa31b854e3226ac</t>
  </si>
  <si>
    <t>dcad45ea6eec4b43a7d97a129231819c</t>
  </si>
  <si>
    <t>dcc8799e88b14da4a67aec335688b356</t>
  </si>
  <si>
    <t>dd116182453d45b388a36b0b2cf1485d</t>
  </si>
  <si>
    <t>dd16391c31de4a528cc85c1871d00f6b</t>
  </si>
  <si>
    <t>dd7a56219b83487b8365aecba17317b3</t>
  </si>
  <si>
    <t>dd99ebfcc959450faac84e544fd69e9c</t>
  </si>
  <si>
    <t>ddd1aa2ae7234eefb8237e8ab151f186</t>
  </si>
  <si>
    <t>de2681aa6d6a40fc846ded9db02d5246</t>
  </si>
  <si>
    <t>de969e61f1d54d43b58e895014155f5b</t>
  </si>
  <si>
    <t>de9ed5b1ce8340e897569bcc28739f5e</t>
  </si>
  <si>
    <t>dee522530b944959b76f3dba5216f3df</t>
  </si>
  <si>
    <t>defd43d631ad475aa78cfa2fb7a09935</t>
  </si>
  <si>
    <t>df12a88b23c047a49137f150e4ee3809</t>
  </si>
  <si>
    <t>df3b7a0366ce4e40a4bc7fc749e19c1c</t>
  </si>
  <si>
    <t>df56bd46673b44eeae283142d017c89b</t>
  </si>
  <si>
    <t>df9198cd14ce46eb953cb8c47812f3b9</t>
  </si>
  <si>
    <t>dfd1ff6fd2a745638571f12fa18f4c26</t>
  </si>
  <si>
    <t>e00c487493be40fc939d4f2ed89ede0f</t>
  </si>
  <si>
    <t>e072c924281f446f9c129fe1cc58d8ec</t>
  </si>
  <si>
    <t>e088cf83ecdf4197b9fc00af241f2fe7</t>
  </si>
  <si>
    <t>e08c754ca8644664a0ca5e48d171e82e</t>
  </si>
  <si>
    <t>e09bf0368f6c4cef997e47e537085abd</t>
  </si>
  <si>
    <t>e0c5491b5ded4e2592a33634d57abae0</t>
  </si>
  <si>
    <t>e0f7712def4546b192279bf43ec2a3ec</t>
  </si>
  <si>
    <t>e0fa86e23bb04357846848fe1cfd5ced</t>
  </si>
  <si>
    <t>e12357f625d44ac0aa501a6d01163b34</t>
  </si>
  <si>
    <t>e1548c5cc7aa49e6ad66f80c59338861</t>
  </si>
  <si>
    <t>e15cf17d6eb14bc1975500e321970564</t>
  </si>
  <si>
    <t>e18edf92efeb4b50acb740c06a912285</t>
  </si>
  <si>
    <t>e1adb8ff865c472ca313c19105c9ccf3</t>
  </si>
  <si>
    <t>e1f5e4103ee94618a8fec643a6062aaf</t>
  </si>
  <si>
    <t>e2833f8fe9604971ba50ff675e9fddf5</t>
  </si>
  <si>
    <t>e2bd6565a6b84303a954bf40bbeea6ea</t>
  </si>
  <si>
    <t>e2f65ef7908f44fe84f5a1c4ad20daa8</t>
  </si>
  <si>
    <t>e32dd938a19e4222a15d976f8ef70d34</t>
  </si>
  <si>
    <t>e34279d23fcb456ea114660ebbfe8eee</t>
  </si>
  <si>
    <t>e39c6ef9a1e9480c93225e93b74cb067</t>
  </si>
  <si>
    <t>e453f1c66d5c46d7adeb90577f46772c</t>
  </si>
  <si>
    <t>e49d76f35f7642e89fae0dfaa69f2d1b</t>
  </si>
  <si>
    <t>e51a6f4848e74bf2ad8a8f25c7bb55ba</t>
  </si>
  <si>
    <t>e576c8b4f4b4457db991e0d3da55ba23</t>
  </si>
  <si>
    <t>e632aa8a764d4c17ba2b9a23d9869a55</t>
  </si>
  <si>
    <t>e6680c5935d54209aed7524086c6971a</t>
  </si>
  <si>
    <t>e6ab609fc38a497bb9cd025c84e564d2</t>
  </si>
  <si>
    <t>e6ac69cfe2994597a38777be51cc2379</t>
  </si>
  <si>
    <t>e6bdc5e5d9db4d29a6991aa0ebec4276</t>
  </si>
  <si>
    <t>e6da74aecb264a58a11d2bb2d654814f</t>
  </si>
  <si>
    <t>e715ca10f5324faeb69ed66cc3f0ff2c</t>
  </si>
  <si>
    <t>e781febeaa844ab29f03c6da61bd67d0</t>
  </si>
  <si>
    <t>e7979b35859e45168ed032d26f381ee8</t>
  </si>
  <si>
    <t>e80162fe975c46879910a404b1ef045f</t>
  </si>
  <si>
    <t>e81dae46e6864b039370364f07ec7f6a</t>
  </si>
  <si>
    <t>e81e04afc7504e869366e15a8f072190</t>
  </si>
  <si>
    <t>e871a1b34bd6452fb4e779a4c8772b50</t>
  </si>
  <si>
    <t>e874ff274b7543a39d465d09c70ababc</t>
  </si>
  <si>
    <t>e8bf216c6b7846dc98eae15030a0fa97</t>
  </si>
  <si>
    <t>e8f7be8ed10a4ceea8203a5dc262280b</t>
  </si>
  <si>
    <t>e945aca0d72843f3a147d14d05a79031</t>
  </si>
  <si>
    <t>e94ccf7fc03948f1a54f8c45b55a26ac</t>
  </si>
  <si>
    <t>e9807f4d3cea4f00912167c6748f224b</t>
  </si>
  <si>
    <t>e99d2685be8b47c4b66f44b4338f7a06</t>
  </si>
  <si>
    <t>e9c5caad14ce49ec8da47275ed2b6034</t>
  </si>
  <si>
    <t>e9ed18f1108b430fb191c5668025022a</t>
  </si>
  <si>
    <t>ea27959176764d2386d8fc661bded858</t>
  </si>
  <si>
    <t>eab86f3c4a2043d3a50a248e64a4b232</t>
  </si>
  <si>
    <t>eae276e004014a7f914ae2aa752d895c</t>
  </si>
  <si>
    <t>eb0ea3d72ca7402abdf726163fb96894</t>
  </si>
  <si>
    <t>eb21e4ec2ed4468d8539fc8d17847036</t>
  </si>
  <si>
    <t>ec225f9f019b4cf0b7ff6c11dc7a908c</t>
  </si>
  <si>
    <t>ec4c39c520c94de3b9da6d2973cbdf81</t>
  </si>
  <si>
    <t>ec697593ab6340f4ac9bee9aa02fe1a4</t>
  </si>
  <si>
    <t>ec6f806a1fa845d7a5fb725bf7384cdb</t>
  </si>
  <si>
    <t>ecd1675c5f7e4722bc1d5406b737b023</t>
  </si>
  <si>
    <t>ece123ed7dee4a0da4613ec1aa314afb</t>
  </si>
  <si>
    <t>ed01f26b07c24be3aabef76ef104c133</t>
  </si>
  <si>
    <t>ed1034a77c3c4923ac08e74997b6ec79</t>
  </si>
  <si>
    <t>ed853ee8e00f4f118979adf565e33157</t>
  </si>
  <si>
    <t>ed894de0780749eaaf357c30ba115bc8</t>
  </si>
  <si>
    <t>eda090b80e664f12b6d8b30b9ace1b05</t>
  </si>
  <si>
    <t>eda9bf7454a842168664638515942e97</t>
  </si>
  <si>
    <t>edc8fccad83f464ab5817a052ebec54d</t>
  </si>
  <si>
    <t>edfa206326ae490eb9a8f7f8ac6d5c57</t>
  </si>
  <si>
    <t>ee003cebaa3b4211a0c5f80fda6da303</t>
  </si>
  <si>
    <t>ee877ee485044a90b2d7faabebf14e84</t>
  </si>
  <si>
    <t>ef0c6992d01a47e3bc5695b1333122b3</t>
  </si>
  <si>
    <t>ef77ad5919ff471786e59a92935ff9a3</t>
  </si>
  <si>
    <t>efea34486d3a41b9aa456347b93217d8</t>
  </si>
  <si>
    <t>f01bf390f7b844f19887d222429430b0</t>
  </si>
  <si>
    <t>f045c26a089f4d339e2ce2aa23c76c70</t>
  </si>
  <si>
    <t>f06f36aa32c54bdabe3e973add768be1</t>
  </si>
  <si>
    <t>f0fda7403d1f45ee9d36874f2d3fd329</t>
  </si>
  <si>
    <t>f10b2d17c955445e84b2bdb1a05b65b6</t>
  </si>
  <si>
    <t>f1406ba1de1a49aa9a3544d3fc77fba7</t>
  </si>
  <si>
    <t>f1cd512159e04203a43b4c45d136e62b</t>
  </si>
  <si>
    <t>f230f39bca114f5eb57d78348e0eb20b</t>
  </si>
  <si>
    <t>f23b845c84f748dda7c112473ebe8f05</t>
  </si>
  <si>
    <t>f261184d0879438c9094a3b1aabdf47a</t>
  </si>
  <si>
    <t>f2b7fe1e44014fe9b2905aae47102b9f</t>
  </si>
  <si>
    <t>f2c1c620314a46dfa7c3ac38266c4da9</t>
  </si>
  <si>
    <t>f32d7703abe84bfc8e8b59462369ccc7</t>
  </si>
  <si>
    <t>f34f4a07e94b4884bccb5132be6ffddb</t>
  </si>
  <si>
    <t>f38ddb53473c4ba5bb1f87edfe67e354</t>
  </si>
  <si>
    <t>f3d181dd679c472993e1432b5b5fc6b9</t>
  </si>
  <si>
    <t>f3febaf2778949e48d9918d82be36f75</t>
  </si>
  <si>
    <t>f44be52a4c3d4b2683a6333aa57ef4a5</t>
  </si>
  <si>
    <t>f49298f51a124d688a16d3605b427d0e</t>
  </si>
  <si>
    <t>f495946c92e54d90987f7514b35202ca</t>
  </si>
  <si>
    <t>f4b2210b4f2447b7ac38d6f4b03e5250</t>
  </si>
  <si>
    <t>f58180c671054b03acde4a820c309ab7</t>
  </si>
  <si>
    <t>f598c45d476f417eb2482b2000288286</t>
  </si>
  <si>
    <t>f5a57c0831db4aec8ca1b3dcb2ab7a30</t>
  </si>
  <si>
    <t>f610b8b856404426ab2a5ab3df99db5a</t>
  </si>
  <si>
    <t>f64a0b92675c456aaea0235f77f6c012</t>
  </si>
  <si>
    <t>f656682d75494d63add58c1526f7dc70</t>
  </si>
  <si>
    <t>f65b780fd94647ea85061f6a3809030d</t>
  </si>
  <si>
    <t>f6d68090785d4fb3910d72aa181d882f</t>
  </si>
  <si>
    <t>f6f9168f6a154f698b2db748a7b59af0</t>
  </si>
  <si>
    <t>f731bb2347474504ba2b475d683ad986</t>
  </si>
  <si>
    <t>f738726fba024a958469d7648e5996ec</t>
  </si>
  <si>
    <t>f76592965ee344bcbda0cbc4c7a6224b</t>
  </si>
  <si>
    <t>f822f9dd16cc41339798643f074906d4</t>
  </si>
  <si>
    <t>f82add956aa44cf38cdce310d67a3f4d</t>
  </si>
  <si>
    <t>f86f3c951e474ea685782cec042f9f28</t>
  </si>
  <si>
    <t>f871a3622e5e4a8a93177d5cfabfdbea</t>
  </si>
  <si>
    <t>f899512b4a2941ccb91ddf1f3bc99156</t>
  </si>
  <si>
    <t>f96b2395d10e4d25a01ba94c6e30f7a9</t>
  </si>
  <si>
    <t>f98e279e79df4bf5a6a9058c745fe909</t>
  </si>
  <si>
    <t>f9a8352ce0994ecebdf2362866f7aab2</t>
  </si>
  <si>
    <t>f9eaf7a0ffc442fcb3521277f86207b6</t>
  </si>
  <si>
    <t>fa347735dad840ccb3fcabe72b127555</t>
  </si>
  <si>
    <t>fa3e6ff61eaf4c509b0c89f3061eed28</t>
  </si>
  <si>
    <t>fabfa8df35bc4c879d508e369d4d0b2b</t>
  </si>
  <si>
    <t>facf9a114a6043d8a82bd8b2b5afa34e</t>
  </si>
  <si>
    <t>fad625a55b4b4010b40dff1dcf1adadf</t>
  </si>
  <si>
    <t>fb08fab79ed4432d9ba23e3c12a10de1</t>
  </si>
  <si>
    <t>fcfa5f897e3b4c7c96492bdbd968863e</t>
  </si>
  <si>
    <t>fd31950a72fc4db6ac7ba012be281c59</t>
  </si>
  <si>
    <t>fd7f268e507649e7a4b609c41f3e8450</t>
  </si>
  <si>
    <t>fd9b883a74324b78bc0baa54f026e3a9</t>
  </si>
  <si>
    <t>fde3bebdbc7e4b769b8af065a63c1e8f</t>
  </si>
  <si>
    <t>fe5aa2e1e9f0437fa9c0c5d6a4e440ee</t>
  </si>
  <si>
    <t>fe6d1821627844d1a7d5c0c094560967</t>
  </si>
  <si>
    <t>fe97b30e5a0e43808b5c29d334e1cff4</t>
  </si>
  <si>
    <t>feb08ae97d954ad5adff4a992a7975a7</t>
  </si>
  <si>
    <t>ff47bd252b144755a462c97411e5e523</t>
  </si>
  <si>
    <t>ff9d900915eb42ac9d513006c26cc0bd</t>
  </si>
  <si>
    <t>report.zakupki@prom.ua</t>
  </si>
  <si>
    <t>ЄДРПОУ переможця</t>
  </si>
  <si>
    <t>ІВ-0308/01/415/20</t>
  </si>
  <si>
    <t>ІВАНОВ ВОЛОДИМИР В'ЯЧЕСЛАВОВИЧ</t>
  </si>
  <si>
    <t>ІВАНЮК ГАЛИНА МИХАЙЛІВНА</t>
  </si>
  <si>
    <t>ІВАСЬКО МАР'ЯН МИКОЛАЙОВИЧ</t>
  </si>
  <si>
    <t>ІЛЬНИЦЬКА АНТОНІНА МИКОЛАЇВНА</t>
  </si>
  <si>
    <t>ІЛЬЧЕНКО ЄВГЕНІЯ ОЛЕГІВНА</t>
  </si>
  <si>
    <t>Ідентифікатор договору (Використовується при звітуванні у E-data)</t>
  </si>
  <si>
    <t>Ідентифікатор закупівлі</t>
  </si>
  <si>
    <t>Ідентифікатор лота</t>
  </si>
  <si>
    <t>Інтернет-послуг</t>
  </si>
  <si>
    <t>АКЦІОНЕРНЕ ТОВАРИСТВО "ЛЬВІВСЬКИЙ ХІМІЧНИЙ ЗАВОД"</t>
  </si>
  <si>
    <t>АНДРЕЄВ АНДРІЙ ІГОРОВИЧ</t>
  </si>
  <si>
    <t>Адреналін-Дарниця, р-н д/ін. 1,8 мг/мл амп.1 мл, контурн. чарунк. уп., пачка №10; Гепарин-Фармекс р-н д/ін. 5000 МО/мл фл.5 мл. №5; Дексаметазон-Дарниця р-н д/ін.4 мг/мл амп. 1мл №10;  Магнію сульфат-Дарниця р-н д/ін. 250 мг/мл, амп. 5 мл, контурн. чарунк. уп №10; Лазолекс р-н д/ін. 7,5 мг/мл амп. 2 мл №5; Медаксон пор. д/п ін. р-ну 1 г фл. №10; Бімол р-н д/інф. 10 мг/мл фл. 100 мл №1; Фармасулін  Н р-н д/ін. 100 МО/мл. фл. 10 мл №1; Фуросемід-Дарниця р-н д/ін 10 мг/мл амп. 2 мл., контурн. чарунк. уп., пачка №10 )</t>
  </si>
  <si>
    <t>Аерозольний генератор холодного туману BURE Fogger</t>
  </si>
  <si>
    <t>БАДМ-Б</t>
  </si>
  <si>
    <t>БОДАЧЕВСЬКИЙ ОЛЕКСАНДР ПРОКОПОВИЧ</t>
  </si>
  <si>
    <t>БОРЕЦЬКИЙ АНАТОЛІЙ ВОЛОДИМИРОВИЧ</t>
  </si>
  <si>
    <t>БУДІЛОВ ВЯЧЕСЛАВ ВЯЧЕСЛАВОВИЧ</t>
  </si>
  <si>
    <t>БУТОВ МИКОЛА ЛУКАШЕВИЧ</t>
  </si>
  <si>
    <t xml:space="preserve">Багатофункціональний пристрій HP </t>
  </si>
  <si>
    <t>Безпровідний адаптер Epson WN7522BEP для проекто</t>
  </si>
  <si>
    <t>Бензин А-95</t>
  </si>
  <si>
    <t>Бензин, дизельне паливо</t>
  </si>
  <si>
    <t>Будівельні матеріали</t>
  </si>
  <si>
    <t>Будівельні матеріали в ассортименті</t>
  </si>
  <si>
    <t>Будівельні матеріали в ассортименті (господарські та сантехнічні товари)</t>
  </si>
  <si>
    <t>Будівельні матеріали в ассортименті (сантехнічні товари)</t>
  </si>
  <si>
    <t>ВК0309/1/567/20</t>
  </si>
  <si>
    <t>ВОВЧИНА ЗІНОВІЙ ІВАНОВИЧ</t>
  </si>
  <si>
    <t>ВОШИК ЛЮБОВ МИХАЙЛІВНА</t>
  </si>
  <si>
    <t>ВШК09-588/2/20</t>
  </si>
  <si>
    <t>ВШК09-637</t>
  </si>
  <si>
    <t>Вивантажено перші 1000 записів. Якщо вам потрібно більше, уточніть пошуковий запит за допомогою фільтрів</t>
  </si>
  <si>
    <t>Вироби медичного призначення (підгузники для дорослих, шапочки-берети)</t>
  </si>
  <si>
    <t>Вироби медичного призначення та лікарські засоби</t>
  </si>
  <si>
    <t>Відкриті торги</t>
  </si>
  <si>
    <t>ГЛАДЧЕНКО МАРІЯ ІВАНІВНА</t>
  </si>
  <si>
    <t>Гель УЗД</t>
  </si>
  <si>
    <t xml:space="preserve">Господарські товари </t>
  </si>
  <si>
    <t>Господарські товари (побутова хімія)</t>
  </si>
  <si>
    <t>ДАНЬКІВ МАРІЯ ВАСИЛІВНА</t>
  </si>
  <si>
    <t>ДЕМЧУР ТАРАС ІЛЛІЧ</t>
  </si>
  <si>
    <t xml:space="preserve">ДЕРЖАВНА УСТАНОВА "ЛЬВІВСЬКИЙ ОБЛАСНИЙ  ЛАБОРАТОРНИЙ ЦЕНТР МІНІСТЕРСТВА ОХОРОНИ ЗДОРОВ’Я УКРАЇНИ" </t>
  </si>
  <si>
    <t>ДЕРЖАВНЕ ПІДПРИЄМСТВО "ЗАХІДНИЙ ЕКСПЕРТНО-ТЕХНІЧНИЙ ЦЕНТР ДЕРЖПРАЦІ"</t>
  </si>
  <si>
    <t>ДЕРЖАВНЕ ПІДПРИЄМСТВО "ЛЬВІВСЬКИЙ НАУКОВО-ВИРОБНИЧИЙ ЦЕНТР СТАНДАРТИЗАЦІЇ, МЕТРОЛОГІЇ ТА СЕРТИФІКАЦІЇ"</t>
  </si>
  <si>
    <t>ДЕРЖАВНЕ ПІДПРИЄМСТВО "ТЕРНОПІЛЬСЬКИЙ НАУКОВО-ВИРОБНИЧИЙ ЦЕНТР  СТАНДАРТИЗАЦІЇ, МЕТРОЛОГІЇ ТА СЕРТИФІКАЦІЇ"</t>
  </si>
  <si>
    <t>ДЕРЖАВНИЙ ВИЩИЙ НАВЧАЛЬНИЙ ЗАКЛАД "ДРОГОБИЦЬКИЙ МЕХАНІКО-ТЕХНОЛОГІЧНИЙ КОЛЕДЖ"</t>
  </si>
  <si>
    <t>ДК 021-2015 - 42161000-5 Водонагрівальні бойлери (електроводонагрівач Aston Waterway VM 100 N4L)</t>
  </si>
  <si>
    <t>ДК 021:2015 - 65310000-9  Розподіл електричної енергії (Послуги з компенсації перетікань реактивної електричної енергії)</t>
  </si>
  <si>
    <t>ДК 021:2015 33140000-3 Медичні матеріали (НК 024:2019 Культуральна пробірка (Стерильний аплікатор в транспортній пробірці, з середовищем Amies, пластиковий стержень)</t>
  </si>
  <si>
    <t>ДК 021:2015 33600000-6 Фармацевтична продукція Засоби для наркозу: ПКУ Атракуріум-Ново р-н д/ін 5 мл №5; ПКУ Дітілін 2% 5 мл.№10</t>
  </si>
  <si>
    <t xml:space="preserve">ДК 021:2015 – 33190000-8 Вироби медичного призначення </t>
  </si>
  <si>
    <t>ДК 021:2015 – 33190000-8 Вироби медичного призначення (CITO TEST, Коробка стерилізаційна з нержавіючої сталі)</t>
  </si>
  <si>
    <t>ДК 021:2015 – 33190000-8 Вироби медичного призначення (контейнери для медичних відходів)</t>
  </si>
  <si>
    <t>ДК 021:2015 – 33190000-8 Вироби медичного призначення (протимікробний килимок, маска киснева)</t>
  </si>
  <si>
    <t>ДК 021:2015 – 33190000-8 Вироби медичного призначення (рециркулятори, пробірки)</t>
  </si>
  <si>
    <t>ДК 021:2015 – 33190000-8 Вироби медичного призначення (шапочка-берет, тест-полоски Contour Plus)</t>
  </si>
  <si>
    <t>ДК 021:2015 – 33190000-8 Вироби медичного призначення (шпатель Лор, халат хірургічний, рециркулятор, бахіли)</t>
  </si>
  <si>
    <t>ДК 021:2015-39560000-5 Текстильні вироби різні (Чохли на сидіння для автомобіля)</t>
  </si>
  <si>
    <t>ДК 021:2015: 33140000-3 — Медичні матеріали (окуляри захисні)</t>
  </si>
  <si>
    <t>ДК 021:2015: 33741100-7 Засоби для миття рук (Мило рідке з антибактеріальною дією "Професійне")</t>
  </si>
  <si>
    <t>ДК 021:2015: 42350000-4 Кремаційні печі (Утилізатор органічних відходів УТ-50)</t>
  </si>
  <si>
    <t>ДК 021:2015:33972000-4 Мішки для моргів (Мішки пластикові санітарні "МПС-200")</t>
  </si>
  <si>
    <t>ДК 021:2015:33972000-4 Мішки для моргів (Мішки пластикові санітарні "МПС-200/5")</t>
  </si>
  <si>
    <t>ДОБОШ ОЛЕГ МИХАЙЛОВИЧ</t>
  </si>
  <si>
    <t>ДОЧІРНЄ ПІДПРИЄМСТВО "ФАРМАТРЕЙД"</t>
  </si>
  <si>
    <t>ДП "Дрогобицький міський відділ профдезинфекції"</t>
  </si>
  <si>
    <t>Дата закінчення договору:</t>
  </si>
  <si>
    <t>Дата підписання договору:</t>
  </si>
  <si>
    <t>Двері</t>
  </si>
  <si>
    <t>Дезинфекційні засоби</t>
  </si>
  <si>
    <t>Дезінфікуючі засоби для рук (Літан-Септ 0,046% розчин хлорнуватистої кислоти 10 л каністра; Юсепт розчин 0,2мг/мл по 5000 мл</t>
  </si>
  <si>
    <t>Дексемедетомідину гідрохлорид розчин для ін'єкцій (200мкг/2мл у скл. флаконі, по 25фл. в пачці); Лефлоцин розчин для інфузій (5мг/мл по 150мл)</t>
  </si>
  <si>
    <t>Дозатор SM2 універсальний д/фл. 450-1000мл</t>
  </si>
  <si>
    <t>Дозатори</t>
  </si>
  <si>
    <t>Доставка, розгрузка, загрузка, зберігання медичного кисню</t>
  </si>
  <si>
    <t>ЕЛ113513/877/20</t>
  </si>
  <si>
    <t>Електроводонагрівач Aston Waterway VM 100 N4L</t>
  </si>
  <si>
    <t>Електрокардіограф ECG600G; Концентратор кисню OLV-10</t>
  </si>
  <si>
    <t>Електрокардіограф МІДАС 6/12 I</t>
  </si>
  <si>
    <t>ЖУК ІРИНА ЄВСТАХІЇВНА</t>
  </si>
  <si>
    <t>ЖУК МАРТА ІГОРІВНА</t>
  </si>
  <si>
    <t>Жук Іван Костянтинович</t>
  </si>
  <si>
    <t>ЗАБЛОЦЬКИЙ АНДРІЙ ЛЕОНТІЙОВИЧ</t>
  </si>
  <si>
    <t>ЗАХАРІЯ ВІКТОР ІВАНОВИЧ</t>
  </si>
  <si>
    <t>Закупівля без використання електронної системи</t>
  </si>
  <si>
    <t>Заправка картриджів</t>
  </si>
  <si>
    <t>Заправка картриджів принтерів Canon / HP</t>
  </si>
  <si>
    <t>Засоби індивідуального захисту при респіраторних інфекціях (Респіратори М3)</t>
  </si>
  <si>
    <t>Засіб антисептичний для дезінфекції рук та шкіри "Блискавка"</t>
  </si>
  <si>
    <t>Звіт створено 23 березня о 15:56 з використанням http://zakupki.prom.ua</t>
  </si>
  <si>
    <t>КІТ ВОЛОДИМИР ВОЛОДИМИРОВИЧ</t>
  </si>
  <si>
    <t>КАРПЯК ІГОР ІВАНОВИЧ</t>
  </si>
  <si>
    <t xml:space="preserve">ККод ДК 021-2015 50112000-9 Послуги з ремонту і технічного обслуговування автомобілів (Поточний ремонт автомобіля УАЗ 452) </t>
  </si>
  <si>
    <t>КОЛЕКТИВНЕ ТОРГОВЕ ПІДПРИЄМСТВО "БУДМАТЕРІАЛИ"</t>
  </si>
  <si>
    <t>КОМУНАЛЬНЕ НЕКОМЕРЦІЙНЕ ПІДПРИЄМСТВО "СТЕБНИЦЬКА МІСЬКА ЛІКАРНЯ" ДРОГОБИЦЬКОЇ МІСЬКОЇ РАДИ</t>
  </si>
  <si>
    <t>КОМУНАЛЬНЕ ПІДПРИЄМСТВО "ДРОГОБИЧВОДОКАНАЛ" ДРОГОБИЦЬКОЇ МІСЬКОЇ РАДИ ЛЬВІВСЬКОЇ ОБЛАСТІ</t>
  </si>
  <si>
    <t>КОМУНАЛЬНЕ ПІДПРИЄМСТВО ЛЬВІВСЬКОЇ ОБЛАСНОЇ РАДИ "ДРОГОБИЦЬКЕ МІЖМІСЬКЕ БЮРО ТЕХНІЧНОЇ ІНВЕНТАРИЗАЦІЇ ТА ЕКСПЕРТНОЇ ОЦІНКИ"</t>
  </si>
  <si>
    <t>КОПЧАК ОЛЕГ ІВАНОВИЧ</t>
  </si>
  <si>
    <t>КРІЛЬ КОСТЯНТИН РОМАНОВИЧ</t>
  </si>
  <si>
    <t>КУЛИК РУСЛАН ПАВЛОВИЧ</t>
  </si>
  <si>
    <t>КУХАР ВОЛОДИМИР ІВАНОВИЧ</t>
  </si>
  <si>
    <t>Капітальний ремонт (замінна віконних та дверних блоків) у комунальному некомерційному підприємстві "Стебницька міська лікарня" Дрогобицької міської ради Львівської області</t>
  </si>
  <si>
    <t>Капітальний ремонт коридорів 2-го поверху поліклініки</t>
  </si>
  <si>
    <t>Капітальний ремонт і реставрація</t>
  </si>
  <si>
    <t>Капітальний ремонт інфекційного відділення</t>
  </si>
  <si>
    <t>Кардіопапір СДТЗ; Пробірка 3мл із зовнішньою кришкою; Пластиковий аплікатор стерильний; Пелюшки для немовлят Тена</t>
  </si>
  <si>
    <t>Картридж до принтера Canon 725</t>
  </si>
  <si>
    <t>Катетер Метелик 23G; Катетер Вазофікс Браунюля</t>
  </si>
  <si>
    <t>Катетер Метелик 23G; Шапочка-берет спабонд</t>
  </si>
  <si>
    <t>Код  ДК 021:2015 – 33120000-7 - Системи реєстрації медичної інформації та дослідне обладнання (Монітор артеріального тиску та електрокардіосигналів добовий SDM23 (холтер), НК 024:2019 - 33586 Система моніторингу фізіологічних показників одного пацієнта)</t>
  </si>
  <si>
    <t>Код  ДК 021:2015 – 33120000-7 - Системи реєстрації медичної інформації та дослідне обладнання (Монітор пацієнта ВМ800D, НК 024:2019 - 33586 Система моніторингу фізіологічних показників одного пацієнта)</t>
  </si>
  <si>
    <t>Код 021:2015-33140000-3 Медичні матеріали (серветки спиртові, пов'язка д/фіксації, пластир медичний на тканинній основі, пластир медичний на нетканій основі, лейкопластир  кат., джгут з застібкою)</t>
  </si>
  <si>
    <t>Код 021:2015-33190000-8 Медичне обладнання та вироби медичного призначення різні (Костюм біологічного захисту (халат ізоляційний медичний одноразовий, комбінезон захисний ізоляційний, бахіли))</t>
  </si>
  <si>
    <t>Код 021:2015-33600000-6 Фармацевтична продукція (метронідазол- Новофарм, амоксил-К, моксимак, азитроміцин-Фармекс, метоклопрамід у гідрохлорид, дексаметазон-Дарниця, медопенем, муколван, парацетамол- Дарниця, магнію сульфат, натрію хлорид, бетадин)</t>
  </si>
  <si>
    <t>Код 021:2015-39130000-2 Офісні меблі (шафа розпашна зі столом в інфекційне відділення 2,1*1,8, шафа купе в інферкційне відділення 2,1*2,2, шафа купе в терапію 2,1*3,3, шафа кутова в реанімаційне відділення 2,6*3,0)</t>
  </si>
  <si>
    <t>Код CPV</t>
  </si>
  <si>
    <t>Код ДК 015:2015-45230000-8 Будівництво трубопроводів, ліній зв’язку та електропередач, шосе, доріг, аеродромів і залізничних доріг; вирівнювання поверхонь (Капітальний ремонт благоустрою території поліклінічного відділення КНП «Стебницька міська лікарня» ДМР)</t>
  </si>
  <si>
    <t xml:space="preserve">Код ДК 021-2015 - 50310000-1 Технічне обслуговування і ремонт офісної техніки (ремонт монітора Samsung LS19MEWSFV/EDC) </t>
  </si>
  <si>
    <t xml:space="preserve">Код ДК 021-2015 50112000-9 Послуги з ремонту і технічного обслуговування автомобілів (Поточний ремонт автомобіля Renault Logan) </t>
  </si>
  <si>
    <t xml:space="preserve">Код ДК 021-2015 50112000-9 Послуги з ремонту і технічного обслуговування автомобілів (Поточний ремонт автомобіля УАЗ 452) </t>
  </si>
  <si>
    <t>Код ДК 0212:2015-15100000-9 Продукція тваринництва, м’ясо та м’ясопродукти (шинка свинна, вагові, філе куряче, сардельки)</t>
  </si>
  <si>
    <t>Код ДК 0212:2015-44172000-6 Листи (будівельні) (профнастил оцинкований 0,04 мм)</t>
  </si>
  <si>
    <t>Код ДК 02162015-33600000-6 Фармацевтична продукція (Пангастро табл.40мг, нітросорбіт 0,01 табл., метопролол 50 мг,  ізо-мік 5 мг, бісопрол 2,5 мг, аспаркам 5 мл)</t>
  </si>
  <si>
    <t>Код ДК 021:-2015-30190000-7 Офісне устаткування та приладдя різне (виготовлення печаток лікарських та журналів реєстрації)</t>
  </si>
  <si>
    <t>Код ДК 021:-2015-33696000-5 Реактиви та контрастні речовини (СРБ латекс-тест, АСЛО латекс-тест, РФ латекс-тест, ентеротест, реагент 
 Анти-А, Анти-В, Анти-D, сироватка контрольна для біохім, досліджень)</t>
  </si>
  <si>
    <t>Код ДК 021:-2015-33696000-5 Реактиви та контрастні речовини (СРБ латекс-тест, АСЛО латекс-тест, РФ латекс-тест, ентеротест, реагент   Анти-А, Анти-В, Анти-D, сироватка контрольна для біохім, досліджень)</t>
  </si>
  <si>
    <t>Код ДК 021:2015 - 30230000-0 Комп’ютерне обладнання (системний блок GAMEMAX, LED-монітор BENQ 22", набір клавіатура та миша GAMEMAX)</t>
  </si>
  <si>
    <t>Код ДК 021:2015 - 30234600-4 Флеш-пам’ять (флеш-накопичувач USB 16Gb)</t>
  </si>
  <si>
    <t>Код ДК 021:2015 - 32350000-1 Частини до аудіо- та відеообладнання (Настінне кріплення X-DIGITAL STEEL для телевізора та настінне кріплення BrateckPRB-18S для проектора)</t>
  </si>
  <si>
    <t>Код ДК 021:2015 - 32420000-3 Мережеве обладнання (Безпровідний адаптер Epson WN7522BEP для проектора)</t>
  </si>
  <si>
    <t>Код ДК 021:2015 - 33120000-7 Системи реєстрації медичної інформації та дослідне обладнання (Електрокардіограф ECG600G, Концентратор кисню OLV-10)</t>
  </si>
  <si>
    <t>Код ДК 021:2015 - 33120000-7 Системи реєстрації медичної інформації та дослідне обладнання (Електрокардіограф МІДАС 6/12 I)(медичне обладнання для надання медичної допомоги пацієнтам, хворим на COVID-19)</t>
  </si>
  <si>
    <t>Код ДК 021:2015 - 33140000-3 Медичні матеріали (Кардіопапір СДТЗ, Пробірка 3мл із зовнішньою кришкою, Пластиковий аплікатор стерильний, Пелюшки для немовлят Тена)</t>
  </si>
  <si>
    <t>Код ДК 021:2015 - 33140000-3 Медичні матеріали (Катетер Метелик, Катетер Вазофікс Браунюля)</t>
  </si>
  <si>
    <t>Код ДК 021:2015 - 33140000-3 Медичні матеріали (Катетер Метелик, шапочка-берет спабонд)</t>
  </si>
  <si>
    <t>Код ДК 021:2015 - 33140000-3 Медичні матеріали (респіратори FFP3)</t>
  </si>
  <si>
    <t>Код ДК 021:2015 - 33140000-3 Медичні матеріали (респіратори FFP3, шапочка-берет спабонд, халат медичний хірургічний стер., бахіли)</t>
  </si>
  <si>
    <t>Код ДК 021:2015 - 33140000-3 Медичні матеріали (стрічка діаграмна для ЕКГ 110*25)</t>
  </si>
  <si>
    <t>Код ДК 021:2015 - 33140000-3 Медичні матеріали (шапочка-берет спабонд, стерильна)</t>
  </si>
  <si>
    <t>Код ДК 021:2015 - 33140000-3 Медичні матеріали (шприци (2мл, 5мл, 10мл, 20мл), система без фталатів )</t>
  </si>
  <si>
    <t>Код ДК 021:2015 - 33160000-9 Устаткування для операційних блоків (відсмоктувач медичний "БІОМЕД" (модель 7Е-А), відсмоктувач медичний "БІОМЕД" (модель 7А-23D))</t>
  </si>
  <si>
    <t>Код ДК 021:2015 - 33160000-9 Устаткування для операційних блоків (відсмоктувач медичний "БІОМЕД" (модель 7Е-А), відсмоктувач медичний "БІОМЕД" (модель 7А-23D)); Відсмоктувач медичний "БІОМЕД" (модель 7А-23D)</t>
  </si>
  <si>
    <t>Код ДК 021:2015 - 33199000-1 Одяг для медичного персоналу (халат медичний нестерильний)</t>
  </si>
  <si>
    <t>Код ДК 021:2015 - 33692000-7 Медичні розчини (Сибазон розчин д/ін., Натрію оксибутират розчин д/ін.)</t>
  </si>
  <si>
    <t>Код ДК 021:2015 - 33711900-6 Мило (мило рідке з антибактеріальною дією "Професійне", 5,0кг)</t>
  </si>
  <si>
    <t>Код ДК 021:2015 - 39515400-9 Жалюзі (Жалюзі вертикальні)</t>
  </si>
  <si>
    <t>Код ДК 021:2015 - 50310000-1 Технічне обслуговування і ремонт офісної техніки (заправка картриджів принтерів Canon / HP)</t>
  </si>
  <si>
    <t>Код ДК 021:2015 - 85140000-2 Послуги у сфері охорони здоров’я різні (Відшкодування вартості лікарських засобів, відпущених за безкоштовними та пільговими рецептами відповідно до постанови КМУ №1303 від 17.08.1998р. "Про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t>
  </si>
  <si>
    <t>Код ДК 021:2015 - 85140000-2 Послуги у сфері охорони здоров’я різні (Відшкодування вартості лікарських засобів, відпущених за безкоштовними та пільговими рецептами відповідно до постанови КМУ №1303 від 17.08.1998р. "Про впорядкування безоплатного та пільгового відпуску лікарських засобів за рецептами лікарів у разі амбуматорного лікування окремих груп населення та за певними категоріями захворювань")</t>
  </si>
  <si>
    <t>Код ДК 021:2015 - 98110000-7 Послуги підприємницьких, професійних та спеціалізованих організацій (Проведення наглядового аудиту за сертифікованою системою управління якістю)</t>
  </si>
  <si>
    <t>Код ДК 021:2015 – 24111900-4 Кисень (кисень газоподібний медичний, в балонах)</t>
  </si>
  <si>
    <t>Код ДК 021:2015 – 24455000-8 Дезинфекційні засоби (Дез ТАБ нью 1кг)</t>
  </si>
  <si>
    <t>Код ДК 021:2015 – 24455000-8 Дезинфекційні засоби (Лагосепт С (серветки в тубі 100шт))</t>
  </si>
  <si>
    <t>Код ДК 021:2015 – 24455000-8 Дезинфекційні засоби (Лагосепт С (серветки в тубі 100шт), КвікДес нью 1л)</t>
  </si>
  <si>
    <t>Код ДК 021:2015 – 3170000-2 Обладнання для анестезії та реанімації (Насос шприцевий Benefusion SP1 (НК 024:2019 - 35754 - Оральний дозатор для рідких речовин))</t>
  </si>
  <si>
    <t>Код ДК 021:2015 – 33120000-7 – Системи реєстрації медичної інформації та дослідне обладнання (Швидкий тест для виявлення антигенів вірусу грипу CITO TEST Influenza A+B)</t>
  </si>
  <si>
    <t>Код ДК 021:2015 – 33140000-3 Медичні матеріали (Тест-смужки Contour Plus, пластир медичний)</t>
  </si>
  <si>
    <t>Код ДК 021:2015 – 33140000-3 Медичні матеріали (пластир медичний, коробка стерилізаційна з нержавіючої сталі)</t>
  </si>
  <si>
    <t>Код ДК 021:2015 – 33140000-3 Медичні матеріали (шовк стерильний, кетгут, катетер підключичний, голки для підключичного катетеру, пробірки)</t>
  </si>
  <si>
    <t>Код ДК 021:2015 – 33140000-3 Медичні матеріали (шприци одноразового застосування)</t>
  </si>
  <si>
    <t>Код ДК 021:2015 – 33140000-3 Медичні матеріали (шприци одноразового застосування, системи без фталатів для вливання інфузійних розчинів)</t>
  </si>
  <si>
    <t>Код ДК 021:2015 – 33190000-8 33190000-8 Медичне обладнання та вироби медичного призначення різні (Neo Diluent C ізотонічний розчин Нео Ділюент 20л, Neo Detergent C миючий розчин Нео Детергент 20л, Neo Lyse C лізуючий розчин Нео Лайз 1л, Neo Cleaner миючий розчин Нео Клінер 100мл, контрольний матеріал D-Check D 2,5мл)</t>
  </si>
  <si>
    <t>Код ДК 021:2015 – 33190000-8 33190000-8 Медичне обладнання та вироби медичного призначення різні (Ланцети Gamma, манжета для тонометра механічні, лампа бактерицидна 30Вт)</t>
  </si>
  <si>
    <t>Код ДК 021:2015 – 33190000-8 33190000-8 Медичне обладнання та вироби медичного призначення різні (Насос інфузійний SN-1600V, Система протипролижнева в комплекті OSD-QDC-303)</t>
  </si>
  <si>
    <t>Код ДК 021:2015 – 33190000-8 Вироби медичного призначення (CITO TEST, Коробка стерилізаційна з нержавіючої сталі)</t>
  </si>
  <si>
    <t>Код ДК 021:2015 – 33190000-8 Вироби медичного призначення (CITO TESТ тести для визначення антитіл до вірусу гепатиту В та С)</t>
  </si>
  <si>
    <t>Код ДК 021:2015 – 33190000-8 Вироби медичного призначення (Тест-смужки Rightest GS550 для визначення глюкози в крові)</t>
  </si>
  <si>
    <t>Код ДК 021:2015 – 33190000-8 Вироби медичного призначення (Швидкі тести CITO TEST для діагностики стрептококової ангіни Strep A, тест-смужки індикаторні Ацетонтест-Норма)</t>
  </si>
  <si>
    <t>Код ДК 021:2015 – 33190000-8 Вироби медичного призначення (халати медичні, системи ПРК "MEDICARE", системи для ПК, перфузор тюбінг)</t>
  </si>
  <si>
    <t>Код ДК 021:2015 – 33190000-8 Вироби медичного призначення (швидкі тести CITO TEST)</t>
  </si>
  <si>
    <t>Код ДК 021:2015 – 33190000-8 Вироби медичного призначення (швидкі тести CITO TEST, тест-смужки індикаторні)</t>
  </si>
  <si>
    <t>Код ДК 021:2015 – 33190000-8 Медичне обладнання та вироби медичного призначення різні (Дозатор SM2 універсальний д/фл. 450-1000мл) для загальної практики сімейної медицини</t>
  </si>
  <si>
    <t>Код ДК 021:2015 – 33190000-8 Медичне обладнання та вироби медичного призначення різні (рециркулятор ультрафіолетовий бактерицидний Аерекс)</t>
  </si>
  <si>
    <t>Код ДК 021:2015 – 33600000-6 Фармацевтична продукція (Цефтріаксон_КМП 1г фл., Фуросемід 1 2мл, Септил розчин, Парацетамол-Дарниця 500мг, Парацетамол Б.БРАУН 10мг/мл, Натрію хлорид 0,9%, Метронідазол розчин д/інф. 5мг/мл, Меропенем 1г, Кордарон 3мл, Азитроміцин 500мг)</t>
  </si>
  <si>
    <t>Код ДК 021:2015 – 33600000-6 – Фармацевтична продукція  (Кальцію глюконат-Дарниця 10% 5мл, Сельтавір 75 мг №10капс., Таміфлю 75мл №10 капс.)</t>
  </si>
  <si>
    <t>Код ДК 021:2015 – 33600000-6 – Фармацевтична продукція (Аміаку розчин 10% 40мл)</t>
  </si>
  <si>
    <t>Код ДК 021:2015 – 33600000-6 – Фармацевтична продукція (Амінокапронова к-та, Нікотинова к-та, Натрію хлорид)</t>
  </si>
  <si>
    <t>Код ДК 021:2015 – 33600000-6 – Фармацевтична продукція (Атракуріум-Ново розчин д/ін., Пропофол ем.д/ін.)</t>
  </si>
  <si>
    <t>Код ДК 021:2015 – 33600000-6 – Фармацевтична продукція (Дексемедетомідину гідрохлорид розчин для ін'єкцій, Лефлоцин розчин для інфузій)</t>
  </si>
  <si>
    <t>Код ДК 021:2015 – 33600000-6 – Фармацевтична продукція (Дибазол, папаверин, натрію хлорид)</t>
  </si>
  <si>
    <t>Код ДК 021:2015 – 33600000-6 – Фармацевтична продукція (Кальцію глюконат-Дарниця 10% 5мл, Сельтавір 75 мг №10 капс., Таміфлю 75мл №10 капс.)</t>
  </si>
  <si>
    <t>Код ДК 021:2015 – 33600000-6 – Фармацевтична продукція (Клексан 400МО шприц 0,4мл №10)</t>
  </si>
  <si>
    <t>Код ДК 021:2015 – 33600000-6 – Фармацевтична продукція (Кордарон 3мл, Клексан 4000МО шприц 0,4мл)</t>
  </si>
  <si>
    <t>Код ДК 021:2015 – 33600000-6 – Фармацевтична продукція (Магнію сульфат)</t>
  </si>
  <si>
    <t>Код ДК 021:2015 – 33600000-6 – Фармацевтична продукція (Меропенем 1г пор. д/п ін. розчину, Азитроміцин 500мг)</t>
  </si>
  <si>
    <t>Код ДК 021:2015 – 33600000-6 – Фармацевтична продукція (Муколван 0,75% 2мл, Метронідазол розчин для інфузій 5мг/мл, Магнію сульфат 25%, Кальцію глюконат 10%)</t>
  </si>
  <si>
    <t>Код ДК 021:2015 – 33600000-6 – Фармацевтична продукція (Нітрогліцерин, клексан,амоксиклав порошок д/п розчину 1200 мг №5)</t>
  </si>
  <si>
    <t>Код ДК 021:2015 – 33600000-6 – Фармацевтична продукція (ПКУ Морфіну гідрохлорид розчин д/ін. 1%)</t>
  </si>
  <si>
    <t>Код ДК 021:2015 – 33600000-6 – Фармацевтична продукція (ПКУ Промедол-ЗН розчин д/ін.)</t>
  </si>
  <si>
    <t>Код ДК 021:2015 – 33600000-6 – Фармацевтична продукція (Пропофол, Тіопентал)</t>
  </si>
  <si>
    <t>Код ДК 021:2015 – 33600000-6 – Фармацевтична продукція (Рибоксин 2% 5мл, Аспаркам 5мл)</t>
  </si>
  <si>
    <t>Код ДК 021:2015 – 33600000-6 – Фармацевтична продукція (Розчини для інфузій: Глюкоза, Інфулган, Калфю хлорид, Кальцію глюконат, Метронідазол, Натрію гідрокарбонат, Натрію хлорид, розчин Рінгера, Сангера розчин, Сода-буфер, Флуконазол)</t>
  </si>
  <si>
    <t>Код ДК 021:2015 – 33600000-6 – Фармацевтична продукція (Септил розчин, глюкоза, барбовал)</t>
  </si>
  <si>
    <t>Код ДК 021:2015 – 33600000-6 – Фармацевтична продукція (Спирт етиловий 96% 100мл фл.)</t>
  </si>
  <si>
    <t>Код ДК 021:2015 – 33600000-6 – Фармацевтична продукція (Торсид розчин д/ін., Супрастин 20мг 1мл, Мікродакс розчин д/рект. застосування 5мл, Лефлок розчин д/інф. 500мг/мл)</t>
  </si>
  <si>
    <t>Код ДК 021:2015 – 33600000-6 – Фармацевтична продукція (Фармасулін Н розчин д/ін., Преднізолон амп. 30мг 1мл)</t>
  </si>
  <si>
    <t>Код ДК 021:2015 – 33600000-6 – Фармацевтична продукція (Цибор 2500 розчин д/ін. шприц 0,2мл, Тіаміну хлорид 5% 1мл,Супрастин 20мг 1мл, Сульфокамфокаїн 10% 2мл, Рибоксин 2% 5мл, Піридоксину г/х 5% 1мл, Пангастро табл. 40мг, Норфлоксацин 0,4г табл., Кальцію хлорид 10% 5мл, Дибазол 1% 1мл, Аспаркам 5мл амп., Аскорбінова кислота 5% 2мл.)</t>
  </si>
  <si>
    <t>Код ДК 021:2015 – 33600000-6 – Фармацевтична продукція (медикаменти Таміфлю, Метрогіл, Меропенем, Гепарин, Біосепт)</t>
  </si>
  <si>
    <t>Код ДК 021:2015 – 33600000-6 – Фармацевтична продукція (нікотинова к-та, амінокапронова к-та, ентерол, ніфуроксазид)</t>
  </si>
  <si>
    <t>Код ДК 021:2015 – 33600000-6 – Фармацевтична продукція (парацетамол)</t>
  </si>
  <si>
    <t>Код ДК 021:2015 – 33600000-6 – Фармацевтична продукція (тіотриазолін, супрастин, пангастро, натрію хлорид, верошпірон, аскорбінова к-та, кокарбоксилаза, АТФ)</t>
  </si>
  <si>
    <t>Код ДК 021:2015 – 33692000-7 Медичні розчини (розчини для інфузій)</t>
  </si>
  <si>
    <t>Код ДК 021:2015 – 33692000-7 Медичні розчини (розчини для інфузій: метронідазол, моксимак, рінгера розчин)</t>
  </si>
  <si>
    <t>Код ДК 021:2015 – 33692000-7 Медичні розчини (розчини для інфузій: рінгера розчин, метронідазол, моксимак)</t>
  </si>
  <si>
    <t>Код ДК 021:2015 – 39330000-4 Дезінфекційне обладнання (обладнання для проведення дезінфекції (Ліктєвий дозатор SM2 універсальний для флаконів від 450мл до 1000мл))</t>
  </si>
  <si>
    <t>Код ДК 021:2015 – 39330000-4 Дезінфекційне обладнання (обладнання для проведення дезінфекції (Ліктєвий дозатор SM2 універсальний для флаконів від 450мл до 1000мл, Диспенсер паперових рушників, Диспенсер туалетного паперу))</t>
  </si>
  <si>
    <t>Код ДК 021:2015 – 42968000-9 Диспенсери (Диспенсер паперових рушників, диспенсер листового туалетного паперу)</t>
  </si>
  <si>
    <t>Код ДК 021:2015 – 44410000-7 Вироби для ванної кімнати та кухні (тумба з умивальником, сифон, кріплення)</t>
  </si>
  <si>
    <t>Код ДК 021:2015 – 45300000-0 Будівельно-монтажні роботи (Будівництво приміщення для встановлення термічного утилізатора на території КНП "Стебницька міська лікарня" ДМР)</t>
  </si>
  <si>
    <t>Код ДК 021:2015 – 60000000-8 Транспортні послуги (крім транспортування відходів) (достака балонів з медичним киснем)</t>
  </si>
  <si>
    <t>Код ДК 021:2015 – 71520000-9 Послуги з технічного нагляду за виконанням будівельних робіт (капітальний ремонт інфекційного відділення КНП "Стебницька міська лікарня" ДМР)</t>
  </si>
  <si>
    <t>Код ДК 021:2015 – 72260000-5 Послуги, пов’язані з програмним забезпеченням (адаптація та впровадження в експлуатацію системи "Зарплата")</t>
  </si>
  <si>
    <t>Код ДК 021:2015 –33190000-8 Медичне обладнання та вироби медичного призначення різні (Контейнер для медичних відходів)</t>
  </si>
  <si>
    <t>Код ДК 021:2015 — 33190000-8 Медичне обладнання та вироби медичного призначення різні (Лампа бактерицидна, протимікробний килимок, лоток ниркоподібн</t>
  </si>
  <si>
    <t>Код ДК 021:2015 — 33190000-8 Медичне обладнання та вироби медичного призначення різні (Лампа бактерицидна, протимікробний килимок, лоток ниркоподібний)</t>
  </si>
  <si>
    <t>Код ДК 021:2015- 22820000-4 Бланк (рецептурні бланки Ф-3 серія ЯЮ № (561906-562000), рецептурні бланки Ф-3 серія ЯЮ № (653001-653105))</t>
  </si>
  <si>
    <t>Код ДК 021:2015- 22820000-4 Бланк (рецептурні бланки Ф-3 серія ЯЮ № 653006-653105)</t>
  </si>
  <si>
    <t>Код ДК 021:2015- 30192700-8 Канцелярські товари</t>
  </si>
  <si>
    <t>Код ДК 021:2015- 33140000-3 Медичні матеріали (киснева маска для дорослих з носовим затискачем, киснева трубка 1,8 м, киснева маска EcoLife з кисневою трубкою)</t>
  </si>
  <si>
    <t>Код ДК 021:2015- 33600000-6 Фармацевтична продукція (Фрелсі р-н д/ін. 2,5 мг/0,5 мл шприц №10)</t>
  </si>
  <si>
    <t>Код ДК 021:2015- 33600000-6 Фармацевтична продукція (бренем порошок для розчину для ін'єкцій, по 1000 мг по 1 фл в картонній коробці, метронідазол розчин для інфузій 0,5% по 100 мл у контейнері, Рінгера розчин розчин для інфузій по 200 мл у контейнері )</t>
  </si>
  <si>
    <t>Код ДК 021:2015- 33600000-6 Фармацевтична продукція (глюкоза, розчин для інф 100 мг, браксон, розчин для ін'єкцій 40 мг/мл, інгаміст розчин  ін'єкцій 100 мг/мл)</t>
  </si>
  <si>
    <t>Код ДК 021:2015- 33711000-7 Парфуми та засоби гігієни (мило рідке)</t>
  </si>
  <si>
    <t>Код ДК 021:2015- 44530000-4 Кріпильні деталі (прямий гак, дюбель SFX універсальний з шурупом, дюбель потрійного розпору, шпилька стальна з різьбою)</t>
  </si>
  <si>
    <t>Код ДК 021:2015- 45450000-6 Інші завершальні будівельні роботи (Капітальний ремонт системи киснепостачання КНП "Стебницька міська лікарня" ДМР за адресою: вул. Січових Стрільців,2, м. Стебник, Львівська обл.)</t>
  </si>
  <si>
    <t>Код ДК 021:2015- 50112000-3 Послуги з ремонту і технічного обслуговування автомобілів (Поточний ремонт автомобіля Renault Logan)</t>
  </si>
  <si>
    <t>Код ДК 021:2015- 80510000-2 Послуги з професійної підготовки спеціалістів (навчання та атестація посадових осіб і фахівців з питань охорони праці (з видачею посвідчення))</t>
  </si>
  <si>
    <t>Код ДК 021:2015-03142500-3 Яйця</t>
  </si>
  <si>
    <t xml:space="preserve">Код ДК 021:2015-03142500-3 Яйця </t>
  </si>
  <si>
    <t>Код ДК 021:2015-03200000-3 Зернові культури, картопля, овочі, фрукти та горіхи  (цибуля, рис)</t>
  </si>
  <si>
    <t>Код ДК 021:2015-03200000-3 Зернові культури, картопля, овочі, фрукти та горіхи (гречка, капуста, буряк, цибуля, картопля)</t>
  </si>
  <si>
    <t>Код ДК 021:2015-03200000-3 Зернові культури, картопля, овочі, фрукти та горіхи (гречка, рис пропарений, буряк, цибуля, картопля)</t>
  </si>
  <si>
    <t>Код ДК 021:2015-03200000-3 Зернові культури, картопля, овочі, фрукти та горіхи (гречка, рис пропарений, рис довгий, крупа ячмінна, крупа перлова, крупа пшоно, горох жовтий,капуста, картопля, буряк, цибуля)</t>
  </si>
  <si>
    <t>Код ДК 021:2015-03200000-3 Зернові культури, картопля, овочі, фрукти та горіхи (гречка, рис)</t>
  </si>
  <si>
    <t>Код ДК 021:2015-03200000-3 Зернові культури, картопля, овочі, фрукти та горіхи (крупа перлова, рис круглий, крупа ячмінна, крупа пшоно, крупа манна, гречка, горох жовтий, капуста, картопля, буряк, морква)</t>
  </si>
  <si>
    <t>Код ДК 021:2015-03200000-3 Зернові культури, картопля, овочі, фрукти та горіхи (крупа пшоно, крупа манна, горох жовтий, морква, капуста, буряк, цибуля, картопля)</t>
  </si>
  <si>
    <t>Код ДК 021:2015-03200000-3 Зернові культури, картопля, овочі, фрукти та горіхи (крупа пшоно, морква молода (ваг.), капуста молода (ваг.), картопля молода (ваг.), буряк (ваг.), цибуля (ваг))</t>
  </si>
  <si>
    <t>Код ДК 021:2015-03200000-3 Зернові культури, картопля, овочі, фрукти та горіхи (мокрва, капуста, цибуля, картопоя, буряк, рис пропарений, гречка, крупа пшоно,  пластівці вівсяні)</t>
  </si>
  <si>
    <t>Код ДК 021:2015-03200000-3 Зернові культури, картопля, овочі, фрукти та горіхи (морква, капуста, буряк, цибуля, картопля)</t>
  </si>
  <si>
    <t>Код ДК 021:2015-03200000-3 Зернові культури, картопля, овочі, фрукти та горіхи (морква, капуста, буряк, цибуля, картопля, горох, рис пропарений, крупа ячмінна, гречка)</t>
  </si>
  <si>
    <t>Код ДК 021:2015-03200000-3 Зернові культури, картопля, овочі, фрукти та горіхи (морква, капуста, буряк, цибуля, картопля, рис пропарений, крупа ячмінна, гречка, пластівці вівсяні)</t>
  </si>
  <si>
    <t>Код ДК 021:2015-03200000-3 Зернові культури, картопля, овочі, фрукти та горіхи (морква, капуста, картопля, цибуля, буряк)</t>
  </si>
  <si>
    <t>Код ДК 021:2015-03200000-3 Зернові культури, картопля, овочі, фрукти та горіхи (морква, капуста, цибуль, картопля, буряк, рис пропарений, крупа перлова, крупа ячмінна, горох жовтий)</t>
  </si>
  <si>
    <t>Код ДК 021:2015-03200000-3 Зернові культури, картопля, овочі, фрукти та горіхи (морква, капуста, цибуля, картопля, буряк)</t>
  </si>
  <si>
    <t>Код ДК 021:2015-03200000-3 Зернові культури, картопля, овочі, фрукти та горіхи (морква, капуста, цибуля, картопля, буряк, крупа манна, рис круглий, гречка, пластівці вівсяні)</t>
  </si>
  <si>
    <t>Код ДК 021:2015-03200000-3 Зернові культури, картопля, овочі, фрукти та горіхи (морква, капуста, цибуля, картопля, буряк, крупа пшоно, гречка, горох жовтий)</t>
  </si>
  <si>
    <t>Код ДК 021:2015-03200000-3 Зернові культури, картопля, овочі, фрукти та горіхи (морква, капуста, цибуля, картопля, буряк, крупа пшоно, крупа манна, горох жовтий )</t>
  </si>
  <si>
    <t>Код ДК 021:2015-03200000-3 Зернові культури, картопля, овочі, фрукти та горіхи (морква, капуста, цибуля, картопля, буряк, рис пропарений, гречка, пластівці вівсяні)</t>
  </si>
  <si>
    <t>Код ДК 021:2015-03200000-3 Зернові культури, картопля, овочі, фрукти та горіхи (морква, капуста, цибуля, картопля, рис)</t>
  </si>
  <si>
    <t>Код ДК 021:2015-03200000-3 Зернові культури, картопля, овочі, фрукти та горіхи (морква, цибуля, картопля, гречка)</t>
  </si>
  <si>
    <t>Код ДК 021:2015-03200000-3 Зернові культури, картопля, овочі, фрукти та горіхи (рис пропарений, капуста)</t>
  </si>
  <si>
    <t>Код ДК 021:2015-03200000-3 Зернові культури, картопля, овочі, фрукти та горіхи (рис пропарений, пшоно, капуста, картопля, буряк, морква, цибуля)</t>
  </si>
  <si>
    <t>Код ДК 021:2015-09210000-4 Мастильні засоби (масло двоконтактне)</t>
  </si>
  <si>
    <t>Код ДК 021:2015-09320000-8 Пара, гаряча вода та пов’язана продукція</t>
  </si>
  <si>
    <t xml:space="preserve">Код ДК 021:2015-09320000-8 Пара, гаряча вода та пов’язана продукція
</t>
  </si>
  <si>
    <t>Код ДК 021:2015-14210000-6 Гравій, пісок, щебінь і наповнювачі (відсів гранітний фракція 0-5 мм, щебінь гранітний, фракція 20-40 мм)</t>
  </si>
  <si>
    <t>Код ДК 021:2015-14622000-7 Сталь ( лист рифлений г/к А3 1000*4000,3 ПС (3))</t>
  </si>
  <si>
    <t>Код ДК 021:2015-14622000-7 Сталь (лист рифлений)</t>
  </si>
  <si>
    <t>Код ДК 021:2015-14811000-9 Жорнові камені, точильні камені та круги (диск відрізний по металу (125*22,23*16 мм, 125*22,23*1,0 мм, 230*22,23*2,5 мм), круг по металу  125*1,22*22,2, )</t>
  </si>
  <si>
    <t>Код ДК 021:2015-14811000-9 Жорнові камені, точильні камені та круги (диск відрізний по металу 125*22, 23*1,6 мм)</t>
  </si>
  <si>
    <t>Код ДК 021:2015-15100000-9 Продукція тваринництва, м’ясо та м’ясопродукти (М’ясо свинини, філе куряче, м’ясо свійської птиці свіже, охолоджене (тушки курей))</t>
  </si>
  <si>
    <t>Код ДК 021:2015-15100000-9 Продукція тваринництва, м’ясо та м’ясопродукти (кури вагові, куряче філе, шинка свинна)</t>
  </si>
  <si>
    <t>Код ДК 021:2015-15100000-9 Продукція тваринництва, м’ясо та м’ясопродукти (кури вагові, філе куряче, шинка свинна, сардельки)</t>
  </si>
  <si>
    <t>Код ДК 021:2015-15100000-9 Продукція тваринництва, м’ясо та м’ясопродукти (кури вагові, філе куряче, шинка свинна, сердельки)</t>
  </si>
  <si>
    <t>Код ДК 021:2015-15100000-9 Продукція тваринництва, м’ясо та м’ясопродукти (кури вагові, філе куряче, шинка свинна,сардельки)</t>
  </si>
  <si>
    <t>Код ДК 021:2015-15100000-9 Продукція тваринництва, м’ясо та м’ясопродукти (кури вагові, шинка свинна, філе куряче, сардельки)</t>
  </si>
  <si>
    <t>Код ДК 021:2015-15100000-9 Продукція тваринництва, м’ясо та м’ясопродукти (шинка свинна ваг., кури ваг., філе куряче ваг, сардельки  Любительські Оригінальні ваг.)</t>
  </si>
  <si>
    <t>Код ДК 021:2015-15100000-9 Продукція тваринництва, м’ясо та м’ясопродукти (шинка свинна, кури ваг, філе куряче, сардельки )</t>
  </si>
  <si>
    <t>Код ДК 021:2015-15100000-9 Продукція тваринництва, м’ясо та м’ясопродукти (шинка свинна, кури вагові, філе куряче)</t>
  </si>
  <si>
    <t>Код ДК 021:2015-15220000-6 Риба, рибне філе та інше м’ясо риби морожені</t>
  </si>
  <si>
    <t>Код ДК 021:2015-15220000-6 Риба, рибне філе та інше м’ясо риби морожені (тушка хека)</t>
  </si>
  <si>
    <t>Код ДК 021:2015-15220000-6 Риба, рибне філе та інше м’ясо риби морожені (тушка хека, ваг)</t>
  </si>
  <si>
    <t>Код ДК 021:2015-15220000-6 Риба, рибне філе та інше м’ясо риби морожені (тушка хека, філе мінтая)</t>
  </si>
  <si>
    <t>Код ДК 021:2015-15220000-6 Риба, рибне філе та інше м’ясо риби морожені (філе мінтая, тушка хека)</t>
  </si>
  <si>
    <t>Код ДК 021:2015-15330000-0 Оброблені фрукти та овочі (томатна паста 0,490 кг)</t>
  </si>
  <si>
    <t>Код ДК 021:2015-15330000-0 Оброблені фрукти та овочі (томатна паста 480 г)</t>
  </si>
  <si>
    <t>Код ДК 021:2015-15330000-0 Оброблені фрукти та овочі (томатна паста 490 г)</t>
  </si>
  <si>
    <t>Код ДК 021:2015-15330000-0 Оброблені фрукти та овочі (томатна паста 490г)</t>
  </si>
  <si>
    <t>Код ДК 021:2015-15330000-0 Оброблені фрукти та овочі (томатна паста Рішельє 480г)</t>
  </si>
  <si>
    <t>Код ДК 021:2015-15330000-0 Оброблені фрукти та овочі (томатна паста)</t>
  </si>
  <si>
    <t xml:space="preserve">Код ДК 021:2015-15400000-2 Олії та тваринні і рослинні жири </t>
  </si>
  <si>
    <t>Код ДК 021:2015-15400000-2 Олії та тваринні і рослинні жири (0лія)</t>
  </si>
  <si>
    <t>Код ДК 021:2015-15400000-2 Олії та тваринні і рослинні жири (олія 0,870 л)</t>
  </si>
  <si>
    <t>Код ДК 021:2015-15400000-2 Олії та тваринні і рослинні жири (олія 0,870 мл)</t>
  </si>
  <si>
    <t>Код ДК 021:2015-15400000-2 Олії та тваринні і рослинні жири (олія 5л)</t>
  </si>
  <si>
    <t>Код ДК 021:2015-15400000-2 Олії та тваринні і рослинні жири (олія 800 г)</t>
  </si>
  <si>
    <t>Код ДК 021:2015-15400000-2 Олії та тваринні і рослинні жири (олія Майола 5л)</t>
  </si>
  <si>
    <t>Код ДК 021:2015-15400000-2 Олії та тваринні і рослинні жири (олія Олейна 0,870 л)</t>
  </si>
  <si>
    <t>Код ДК 021:2015-15400000-2 Олії та тваринні і рослинні жири (олія Чесний літр)</t>
  </si>
  <si>
    <t>Код ДК 021:2015-15400000-2 Олії та тваринні і рослинні жири (олія соняшна Ріо раф 0,9 л)</t>
  </si>
  <si>
    <t>Код ДК 021:2015-15400000-2 Олії та тваринні і рослинні жири (олія соняшна рафінована 0,920 л)</t>
  </si>
  <si>
    <t>Код ДК 021:2015-15400000-2 Олії та тваринні і рослинні жири (олія соняшна рафінована/нерафінована 0,920 л)</t>
  </si>
  <si>
    <t>Код ДК 021:2015-15400000-2 Олії та тваринні і рослинні жири (олія соняшна)</t>
  </si>
  <si>
    <t>Код ДК 021:2015-15400000-2 Олії та тваринні і рослинні жири (олія соняшникова 0,920 л)</t>
  </si>
  <si>
    <t>Код ДК 021:2015-15400000-2 Олії та тваринні і рослинні жири (олія соняшникова)</t>
  </si>
  <si>
    <t>Код ДК 021:2015-15400000-2 Олії та тваринні і рослинні жири (олія)</t>
  </si>
  <si>
    <t>Код ДК 021:2015-15500000-3 Молочні продукти (масло Білоцерківське 400г, сметана РадиМо 20% 400г, молоко Галичина 2,5%, сир Російський фасований (ваг))</t>
  </si>
  <si>
    <t>Код ДК 021:2015-15500000-3 Молочні продукти (масло Білоцерківське 400г, сметана Радимо 20% 400г, сир голанський Тульчинка 50% ваг, молоко Галичина 2,5% )</t>
  </si>
  <si>
    <t>Код ДК 021:2015-15500000-3 Молочні продукти (масло Білоцерківське, масло Богодухів, сир Російський, молоко)</t>
  </si>
  <si>
    <t>Код ДК 021:2015-15500000-3 Молочні продукти (масло)</t>
  </si>
  <si>
    <t>Код ДК 021:2015-15500000-3 Молочні продукти (масло, молоко, сир)</t>
  </si>
  <si>
    <t>Код ДК 021:2015-15500000-3 Молочні продукти (масло, сметана)</t>
  </si>
  <si>
    <t>Код ДК 021:2015-15500000-3 Молочні продукти (масло, сметана, сир Голандський класичний, молоко)</t>
  </si>
  <si>
    <t>Код ДК 021:2015-15500000-3 Молочні продукти (молоко згущене, сир, масло, сметана)</t>
  </si>
  <si>
    <t>Код ДК 021:2015-15500000-3 Молочні продукти (молоко, масло, сир твердий, сметана)</t>
  </si>
  <si>
    <t>Код ДК 021:2015-15500000-3 Молочні продукти (сир російський, масло)</t>
  </si>
  <si>
    <t>Код ДК 021:2015-15500000-3 Молочні продукти (сир російський, молоко, масло)</t>
  </si>
  <si>
    <t>Код ДК 021:2015-15500000-3 Молочні продукти (сир, масло, молоко)</t>
  </si>
  <si>
    <t>Код ДК 021:2015-15500000-3 Молочні продукти (сир, молоко, масло)</t>
  </si>
  <si>
    <t>Код ДК 021:2015-15500000-3 Молочні продукти (сметана, масло, сир Російський, молоко)</t>
  </si>
  <si>
    <t>Код ДК 021:2015-15500000-3 Молочні продукти (сметана, масло, сир російський, молоко)</t>
  </si>
  <si>
    <t>Код ДК 021:2015-15500000-3 Молочні продукти (сметана, молоко)</t>
  </si>
  <si>
    <t>Код ДК 021:2015-15500000-3 Молочні продукти (сметана, сир, молоко, масло)</t>
  </si>
  <si>
    <t>Код ДК 021:2015-15600000-4 Продукція борошномельно-круп’яної промисловості, крохмалі та крохмалепродукти (борошно, вівсяні пластівці)</t>
  </si>
  <si>
    <t>Код ДК 021:2015-15600000-4 Продукція борошномельно-круп’яної промисловості, крохмалі та крохмалепродукти (борошно, макарон,, вівсяні пластівці)</t>
  </si>
  <si>
    <t>Код ДК 021:2015-15600000-4 Продукція борошномельно-круп’яної промисловості, крохмалі та крохмалепродукти (борошно, макарони)</t>
  </si>
  <si>
    <t>Код ДК 021:2015-15600000-4 Продукція борошномельно-круп’яної промисловості, крохмалі та крохмалепродукти (борошно, макарони, пластівці)</t>
  </si>
  <si>
    <t>Код ДК 021:2015-15600000-4 Продукція борошномельно-круп’яної промисловості, крохмалі та крохмалепродукти (борошно, хліб, макарон)</t>
  </si>
  <si>
    <t>Код ДК 021:2015-15600000-4 Продукція борошномельно-круп’яної промисловості, крохмалі та крохмалепродукти (макарон Ярка 1кг, пластівці вівсяні Джміль 1 кг, борошно Хмельницьке 25 кг)</t>
  </si>
  <si>
    <t>Код ДК 021:2015-15600000-4 Продукція борошномельно-круп’яної промисловості, крохмалі та крохмалепродукти (макарони ТМ, манка, борошно вівсяні пластівці, гречка, рис)</t>
  </si>
  <si>
    <t>Код ДК 021:2015-15600000-4 Продукція борошномельно-круп’яної промисловості, крохмалі та крохмалепродукти (макарони, борошно,, сіль)</t>
  </si>
  <si>
    <t>Код ДК 021:2015-15600000-4 Продукція борошномельно-круп’яної промисловості, крохмалі та крохмалепродукти (макарони, хліб)</t>
  </si>
  <si>
    <t>Код ДК 021:2015-15600000-4 Продукція борошномельно-круп’яної промисловості, крохмалі та крохмалепродукти (макарони, хліб, пластівці вівсяні, борошно)</t>
  </si>
  <si>
    <t>Код ДК 021:2015-15600000-4 Продукція борошномельно-круп’яної промисловості, крохмалі та крохмалепродукти (макарони, хліб, сухарі)</t>
  </si>
  <si>
    <t>Код ДК 021:2015-15600000-4 Продукція борошномельно-круп’яної промисловості, крохмалі та крохмалепродукти (хліб, борошно, сухарі, макарони)</t>
  </si>
  <si>
    <t>Код ДК 021:2015-15600000-4 Продукція борошномельно-круп’яної промисловості, крохмалі та крохмалепродукти (хліб, макарони)</t>
  </si>
  <si>
    <t>Код ДК 021:2015-15600000-4 Продукція борошномельно-круп’яної промисловості, крохмалі та крохмалепродукти (хліб, макарони, вівсяні пластівці)</t>
  </si>
  <si>
    <t>Код ДК 021:2015-15600000-4 Продукція борошномельно-круп’яної промисловості, крохмалі та крохмалепродукти (хліб, сухарі, макарони, пластівці вівсяні, борошно)</t>
  </si>
  <si>
    <t>Код ДК 021:2015-15610000-7 Продукція борошномельно-круп'яної промисловості (гречка, крупа ячмінна, крупа пшоно, крупа манна, рис круглий, горох жовтий)</t>
  </si>
  <si>
    <t>Код ДК 021:2015-15610000-7 Продукція борошномельно-круп'яної промисловості (крупа пшоно)</t>
  </si>
  <si>
    <t>Код ДК 021:2015-15610000-7 Продукція борошномельно-круп'яної промисловості (крупа ячмінна, крупа пшоно, гречка, рис круглий, горох жовтий)</t>
  </si>
  <si>
    <t>Код ДК 021:2015-15800000-6 Продукти харчування різні (вівсяні пластівці, цукор)</t>
  </si>
  <si>
    <t>Код ДК 021:2015-15800000-6 Продукти харчування різні (сіль, чай, цукор)</t>
  </si>
  <si>
    <t>Код ДК 021:2015-15800000-6 Продукти харчування різні (хліб 0,6 кг)</t>
  </si>
  <si>
    <t>Код ДК 021:2015-15800000-6 Продукти харчування різні (хліб Меденичі Володар 0,6 кг, сухарі  Сто Пудів 200г, цукор)</t>
  </si>
  <si>
    <t>Код ДК 021:2015-15800000-6 Продукти харчування різні (хліб Меденичі Володар 0,6 кг, сухарі 200г, цукор 50 кг)</t>
  </si>
  <si>
    <t>Код ДК 021:2015-15800000-6 Продукти харчування різні (хліб)</t>
  </si>
  <si>
    <t>Код ДК 021:2015-15800000-6 Продукти харчування різні (хліб, макарони)</t>
  </si>
  <si>
    <t>Код ДК 021:2015-15800000-6 Продукти харчування різні (хліб, макарони, сіль, чай)</t>
  </si>
  <si>
    <t>Код ДК 021:2015-15800000-6 Продукти харчування різні (хліб, сухарі)</t>
  </si>
  <si>
    <t>Код ДК 021:2015-15800000-6 Продукти харчування різні (хліб, сухарі, цукор, чай)</t>
  </si>
  <si>
    <t>Код ДК 021:2015-15800000-6 Продукти харчування різні (хліб, сухарі,цукор)</t>
  </si>
  <si>
    <t>Код ДК 021:2015-15800000-6 Продукти харчування різні (хліб, чай, цукор)</t>
  </si>
  <si>
    <t>Код ДК 021:2015-15800000-6 Продукти харчування різні (цукор)</t>
  </si>
  <si>
    <t>Код ДК 021:2015-15800000-6 Продукти харчування різні (цукор, сіль)</t>
  </si>
  <si>
    <t>Код ДК 021:2015-15800000-6 Продукти харчування різні (цукор, сіль, оцет)</t>
  </si>
  <si>
    <t>Код ДК 021:2015-15800000-6 Продукти харчування різні (чай 250г, сіль йодована кам'яна 1 кг, цукор 50 кг, сухарі Сто Пудів 200 г, оцет столовий 1л 9%)</t>
  </si>
  <si>
    <t>Код ДК 021:2015-15800000-6 Продукти харчування різні (чай, оцет, цукор)</t>
  </si>
  <si>
    <t>Код ДК 021:2015-15800000-6 Продукти харчування різні (чай, сіль йодована кам'яна (1 кг), оцет столовий)</t>
  </si>
  <si>
    <t>Код ДК 021:2015-15800000-6 Продукти харчування різні (чай, сіль йодована, цукор)</t>
  </si>
  <si>
    <t>Код ДК 021:2015-15800000-6 Продукти харчування різні (чай, хліб, цукор)</t>
  </si>
  <si>
    <t>Код ДК 021:2015-15800000-6 Продукти харчування різні (чай, цукор)</t>
  </si>
  <si>
    <t>Код ДК 021:2015-15870000-7 Заправки та приправи (Томатний соус, сіль йодована)</t>
  </si>
  <si>
    <t>Код ДК 021:2015-16800000-3 Частини для сільськогосподарської та лісогосподарської техніки (котушка з волосінню з борі до мотокоси "Авук", косильна головка для тримера, мастило 0,5л 2Т Agrinol Moto Drive SAE-20 напівсинтетика)</t>
  </si>
  <si>
    <t>Код ДК 021:2015-18140000-2 Аксесуари до робочого одягу (рукавиці ПВХ)</t>
  </si>
  <si>
    <t>Код ДК 021:2015-18140000-2 Аксесуари до робочого одягу (рукавиці ПВХ, рукавиці господарські латексні)</t>
  </si>
  <si>
    <t>Код ДК 021:2015-18141000-9 Робочі рукавиці (рукавиці ПВХ оранжеві з двох сторін р 10 Р (115)/2 клас 10, рукавиці господарські латексні 8/М)</t>
  </si>
  <si>
    <t>Код ДК 021:2015-18400000-3 Спеціальний одяг та аксесуари (рукавиці господарські латексні 8/М, рукавиці ПВХ оранжеві з двох сторін р10 Р(115/2), рукавиці ПВХ оранжеві р10 Р(115) клас 10 (уп.10пар), ізолента 21м чорна+синя, масло двоконтактне WERK)</t>
  </si>
  <si>
    <t>Код ДК 021:2015-18810000-0 Взуття різне, крім спортивного та захисного (гумові чоботи чоловічі високі)</t>
  </si>
  <si>
    <t>Код ДК 021:2015-18810000-0 Взуття різне, крім спортивного та захисного (чоботи гумові короткі)</t>
  </si>
  <si>
    <t>Код ДК 021:2015-19240000-0 Спеціальні тканини (Тканина з поліуретановим просоченням (клейонка))</t>
  </si>
  <si>
    <t xml:space="preserve">Код ДК 021:2015-19640000-4 Поліетиленові мішки та пакети для сміття </t>
  </si>
  <si>
    <t>Код ДК 021:2015-19640000-4 Поліетиленові мішки та пакети для сміття (мішки для сміття Чіко 120*10, мішки для сміття Чіко 35*50, мішки для сміття Чіко 35*30)</t>
  </si>
  <si>
    <t>Код ДК 021:2015-19640000-4 Поліетиленові мішки та пакети для сміття (пакети 120*10, мішки д/сміття 120*10, 35*30)</t>
  </si>
  <si>
    <t>Код ДК 021:2015-22000000-0 Друкована та супутня продукція (медичні бланки)</t>
  </si>
  <si>
    <t>Код ДК 021:2015-22820000-4 Бланки (екстрене повідомлення про інфекційне захворювання ф. 058/0 А5)</t>
  </si>
  <si>
    <t>Код ДК 021:2015-22820000-4 Бланки (медичні бланки форми 140/о, форми 122/о)</t>
  </si>
  <si>
    <t>Код ДК 021:2015-22820000-4 Бланки (медичні бланки)</t>
  </si>
  <si>
    <t>Код ДК 021:2015-22850000-3 Швидкозшивачі та супутнє приладдя (пластиковий планшет А4)</t>
  </si>
  <si>
    <t>Код ДК 021:2015-22900000-9 Друкована продукція різна ("Журнал обліку отримання та виплат дез засобів" 200 арк., обкладинка газетний картон, блок-газетний папір, кріплення-скоба, друк 1+1, А4 формат, "Журнал обліку фактично отриманих і використаних лік. засобів та мед. виробів"  200 арк., обкладинка газетний картон, блок-газетний папір, кріплення-скоба, друк 1+1, А4 формат, "Журнал обліку відділеннями використаних лік. засобів та мед виробів"  200 арк., обкладинка газетний картон, блок-газетний папір, кріплення-скоба, друк 1+1, А4 формат, "Журнал обліку проведення прибирань"  100 арк., обкладинка газетний картон, блок-газетний папір, кріплення-скоба, друк 1+1, А4 формат)</t>
  </si>
  <si>
    <t>Код ДК 021:2015-22900000-9 Друкована продукція різна ("Книга склад. обл. запис та мед вир.", додаток5, додаток 7, наклейки, журнал обліку прийому хворих, журнал "Лист призначень", бланки)</t>
  </si>
  <si>
    <t>Код ДК 021:2015-22900000-9 Друкована продукція різна (бланк "Температурний листок" А4, газетний папір, друк 1+1, бланк "Карта пацієнта" А5, газетний папір, друк 1+1, бланк "Виписка з медичної карти амб. стац. хворого" А5, газетний папір, друк 1+1, бланк "Порційна вимога"11*15 см, друк1+0, газетний папір, "Журнал обліку факт. отрим і вик. лік. зас. та мед. виробів" , А4, 100 арк. блок газетний папір, обкладинка газетний картон, друк 1+1, кріплення скоба, "Журнал здоров'я"  А4, 100 арк. блок газетний папір, обкладинка газетний картон, друк 1+1, кріплення скоба, "Книга складського обліку"  А4, 100 арк. блок газетний папір, обкладинка газетний картон, друк 1+1, кріплення скоба, "Журнал оперативного контролю за станом охорони праці"  А4, 100 арк. блок газетний папір, обкладинка газетний картон, друк 1+1, кріплення скоба, "Журнал реєстрації ультразвукових досліджень"  А4, блок офсетний папір, обкладинка газетний картон, друк 1+1, кріплення скоба)</t>
  </si>
  <si>
    <t>Код ДК 021:2015-22900000-9 Друкована продукція різна (журнал обліку відділень отриманих і використаних лікарських засобів, журнал обліку факт. отриман. і використ. лікар. засобів, журнал оператив. конт. за станом здоров'я, набір сторінки, наклейки "Білизна" 3 кольори 50шт, наклейки "Відходи" 3 кольори 50шт, наклейки "Склотара" 3 кольори 50шт, наклейки "Утилізація" 3 кольори 50шт, наклейки "Харч. відходи" 3 кольори 50шт, наклейки "Шприци" 3 кольори 50шт, наклейки "Дез. камера" 3 кольори 50шт,)</t>
  </si>
  <si>
    <t>Код ДК 021:2015-22900000-9 Друкована продукція різна (картки для відображення результатів аналізів)</t>
  </si>
  <si>
    <t>Код ДК 021:2015-22900000-9 Друкована продукція різна (наклейка "Утилізація відходів групи В", "Обережно коронавірус", "Утилізація засобів індивідуального захисту", "Утилізація шприци, системи. маски", " Використані системи", "Вкористані шприци", "Харчові відходи", "Білизна пацієнта", "Склотара", "Утилізація" ( розмір 250мм*50мм))</t>
  </si>
  <si>
    <t>Код ДК 021:2015-22900000-9 Друкована продукція різна (наклейка "утилізація", "використані шприци", "харчові відходи", "білизна пацієнта", "склотара", (друк4+0, розмір 250мм*50мм), "Журнали запису рентгенелогічних досліджень", 100 стр. формат альбомний, 1+1, кріплення скоба, газетний папір, обкладинка газетний картон)</t>
  </si>
  <si>
    <t>Код ДК 021:2015-24111900-4 Кисень (кисень газоподібний медичний, в балонах)</t>
  </si>
  <si>
    <t>Код ДК 021:2015-24320000-3 Основні органічні хімічні речовини (спирт етиловий 70% 100 мл фл.(обмежений відпуск))</t>
  </si>
  <si>
    <t>Код ДК 021:2015-24320000-3 Основні органічні хімічні речовини (спирт етиловий 70% р-н д/зовн. застос. 70% фл. 100 мл №1, спирт етиловий 96% р-н д/зовн. застос. 96% фл. 100 мл №1)</t>
  </si>
  <si>
    <t>Код ДК 021:2015-24320000-3 Основні органічні хімічні речовини (спирт етиловий 70% р-н д/зовн. застосуван. 70% фл. 100 мл, №1, спирт етиловий 96% р-н д/зовн. застосуван. 96% фл. 100 мл, №1)</t>
  </si>
  <si>
    <t>Код ДК 021:2015-24320000-3 Основні органічні хімічні речовини (спирт етиловий 70%р-н д/зовн. застосування)</t>
  </si>
  <si>
    <t>Код ДК 021:2015-24320000-3 Основні органічні хімічні речовини (спирт етиловий 96%, спирт етиловий 70%)</t>
  </si>
  <si>
    <t>Код ДК 021:2015-24322510-5 Етиловий спирт (спирт етиловий р-н 70% 100 мл)</t>
  </si>
  <si>
    <t>Код ДК 021:2015-24450000-3 Агрохімічна продукція (НК 021-2019 41550-Дезінфікуючі засоби для рук (Літан-Септ 0,046% розчин хлорнуватистої кислоти 10 л каністра, Юсепт розчин 0,2мг/мл по 5000 мл))</t>
  </si>
  <si>
    <t>Код ДК 021:2015-24455000-8 Дезинфекційні засоби (дез Таб нью, лагосепт С (серветки в тубі), засіб дезінфекційний Бактеріо Дез нью ф/1л )</t>
  </si>
  <si>
    <t>Код ДК 021:2015-24455000-8 Дезинфекційні засоби (дез Таб нью, лагосепт С (серветки в тубі), засіб дезінфекційний Бактеріо Дез нью ф/1л з дозатором)</t>
  </si>
  <si>
    <t>Код ДК 021:2015-24455000-8 Дезинфекційні засоби (засіб дезінфекційний "Дез Таб Нью"1 кг, засіб дезінфекційний "СефДез софт" К/5000 мл, засіб дезінфекційний "СефДез квік" 5л, засіб дезінфекційний "Сеф Дез квік", 1л з розпилювачем)</t>
  </si>
  <si>
    <t>Код ДК 021:2015-24455000-8 Дезинфекційні засоби (засіб дезінфекційний "ДезТаб нью" 1 кг, засіб дезінфекційний "СефДез софт" К/5000 мл, засіб дезінфекційний "СефДез квік" 5л)</t>
  </si>
  <si>
    <t>Код ДК 021:2015-24455000-8 Дезинфекційні засоби (засіб дезінфекційний ARMAXIL D1 (рідкий), 1л)</t>
  </si>
  <si>
    <t xml:space="preserve">Код ДК 021:2015-24455000-8 Дезинфекційні засоби (засіб дезінфекційний ARMAXIL D1 (рідкий), 1л)
</t>
  </si>
  <si>
    <t>Код ДК 021:2015-24455000-8 Дезинфекційні засоби (засіб дезінфекційний Квік Дес 5л, СефДез квік (серветки 100шт))</t>
  </si>
  <si>
    <t>Код ДК 021:2015-24455000-8 Дезинфекційні засоби (засіб дезінфекційний КвікДес 950 мл з розпилювачем, СефДес квік (серветки 100шт))</t>
  </si>
  <si>
    <t>Код ДК 021:2015-24455000-8 Дезинфекційні засоби (засіб дезінфікуючий " Квік Дес", 5 л, засіб дезінфікуючий "СефДез квік" (серветки 100шт, засіб дезінфікуючий "Дез ТАБ" 1 кг)</t>
  </si>
  <si>
    <t>Код ДК 021:2015-24455000-8 Дезинфекційні засоби (засіб дезінфікуючий "СефДез софт" К/5000 мл)</t>
  </si>
  <si>
    <t>Код ДК 021:2015-24455000-8 Дезинфекційні засоби (засіб дезінфікуючий "СефДез софт", К/5000 мл)</t>
  </si>
  <si>
    <t>Код ДК 021:2015-24455000-8 Дезинфекційні засоби (засіб дезінфікуючий Квік Дес, 5 л, засіб дезінфікуючий "СефДез квік (серветки в банці))</t>
  </si>
  <si>
    <t>Код ДК 021:2015-24455000-8 Дезинфекційні засоби(засіб дезінфікуючий "СефДез софт, К/5000 мл")</t>
  </si>
  <si>
    <t>Код ДК 021:2015-24590000-6 Силікони у первинній формі (силікон санітарний прозорий)</t>
  </si>
  <si>
    <t>Код ДК 021:2015-24910000-6 Клеї (клей "Скороход", клей "888" універсальний, клей "Глобус")</t>
  </si>
  <si>
    <t>Код ДК 021:2015-24910000-6 Клеї (клей ПСМ-11, силікон санітарний Tytan)</t>
  </si>
  <si>
    <t>Код ДК 021:2015-24910000-6 Клеї (клей для корка, бамбука та натуральних покритів DUFA D621 1 кг)</t>
  </si>
  <si>
    <t>Код ДК 021:2015-24910000-6 Клеї (клей для корка, бамбука та натуральних[ покритів   DUFA D621 1 кг)</t>
  </si>
  <si>
    <t>Код ДК 021:2015-24930000-2 Фотохімікати (Синьочутлива медична рентгенівська плівказаг. призначення 30*40 см №2, синьочутлива медична рентгенівська плівказаг. призначення 30*40 см №1)</t>
  </si>
  <si>
    <t>Код ДК 021:2015-24930000-2 Фотохімікати (плівка PFH-TFilm (рулон) 110мм*30,5м Carestream Health)</t>
  </si>
  <si>
    <t>Код ДК 021:2015-24930000-2 Фотохімікати (рентгенівська плівка, проявник для обробки рентгенівської плівки, фіксаж для ручної обробки рентгенівської плівки)</t>
  </si>
  <si>
    <t>Код ДК 021:2015-24930000-2 Фотохімікати (рентгенівська плівка, проявник для рентгенівської плівки, фіксаж для ручної обробки рентгенівської плівки)</t>
  </si>
  <si>
    <t>Код ДК 021:2015-24930000-2 Фотохімікати (рентгенівська плівка, проявник для ручної обробки рентгенівської плівки, фіксаж для ручної обробки рентгенівської плівки)</t>
  </si>
  <si>
    <t>Код ДК 021:2015-24930000-2 Фотохімікати (синьочутлива медична рентгенівська плівка загального призначення 30*40 см №100)</t>
  </si>
  <si>
    <t>Код ДК 021:2015-24930000-2 Фотохімікати (синьочутлива медична рентгенівська плівка загального призначення 30*40 см №100, проявник для ручної обробки рентгенівської плівки в каністрах по 5л (на 25л. розчину))</t>
  </si>
  <si>
    <t>Код ДК 021:2015-24930000-2 Фотохімікати (синьочутлива медична рентгенівська плівка загального призначення 30*40 см №100, проявник для ручної обробки рентгенівської плівки в каністрах по 5л (на 25л. розчину), фіксаж для ручної обробки рентгенівської плівки в каністрах по 5л (на 25л. розчину))</t>
  </si>
  <si>
    <t>Код ДК 021:2015-24950000-8 Спеціалізована хімічна продукція (рідкий ключ COBRA 200 мл, спрей багатофункціональний COBRA NX-40 200 мл)</t>
  </si>
  <si>
    <t>Код ДК 021:2015-30120000-6 Фотокопіювальне та поліграфічне обладнання для офсетного друку (картридж HP(CF244A), картридж Kyocera Mita TK-1110, картридж Canon 725, картридж Canon 737 )</t>
  </si>
  <si>
    <t>Код ДК 021:2015-30120000-6 Фотокопіювальне та поліграфічне обладнання для офсетного друку (картридж для принтера)</t>
  </si>
  <si>
    <t>Код ДК 021:2015-30120000-6 Фотокопіювальне та поліграфічне обладнання для офсетного друку (картридж до принтера XEROX Phazer 3020, картридж до принтера CANON 725)</t>
  </si>
  <si>
    <t>Код ДК 021:2015-30190000-7 Офісне устаткування та приладдя різне (батарейки Відекс, батарейки Варта)</t>
  </si>
  <si>
    <t>Код ДК 021:2015-30190000-7 Офісне устаткування та приладдя різне (канцтовари)</t>
  </si>
  <si>
    <t>Код ДК 021:2015-30190000-7 Офісне устаткування та приладдя різне (скотч, клей ПВА, малярна стрічка)</t>
  </si>
  <si>
    <t>Код ДК 021:2015-30190000-7 Офісне устаткування та приладдя різне (скрепка кольорова 100, лінійка трикутник 24 см, ручка кулькова, маркер №95000, клей ПВА 100, ножиці дитячі кольорові, зошити 18 арк, зошити 80арк )</t>
  </si>
  <si>
    <t>Код ДК 021:2015-30197630-1 Папір для друку (папір для СС 3003)</t>
  </si>
  <si>
    <t>Код ДК 021:2015-30210000-4 Машини для обробки даних (апаратна частина) (ноутбук Asus X540SC-DM038D)</t>
  </si>
  <si>
    <t>Код ДК 021:2015-30210000-4 Машини для обробки даних (апаратна частина) (ноутбук Lenovo IdeaPad S145)</t>
  </si>
  <si>
    <t>Код ДК 021:2015-30230000-0 Комп’ютерне обладнання (SSD накопичувач Apacer 120 GB, привід DVD-RW SATA до системного блоку, USB флеш пам'ять Metal TG 109 64 GB, USB флеш пам'ять Hi-Rali 32 GB, USB флеш пам'ять Kingston 32 GB, мережева карта PCI-E mini TP-link для системного блоку)</t>
  </si>
  <si>
    <t>Код ДК 021:2015-30230000-0 Комп’ютерне обладнання (USB Flash Hi-Rali 16 Gb)</t>
  </si>
  <si>
    <t>Код ДК 021:2015-30230000-0 Комп’ютерне обладнання (USB T&amp;G TG 112-64G)</t>
  </si>
  <si>
    <t>Код ДК 021:2015-30230000-0 Комп’ютерне обладнання (багатофункціональний принтер KYOCERA ECOSYS FS-1020MFP. ноутбук HP 15FM/4417U/4/256/Intel HD/Dark Ash)</t>
  </si>
  <si>
    <t>Код ДК 021:2015-30230000-0 Комп’ютерне обладнання (принтер 3 в 1 HP Laser 135 a)</t>
  </si>
  <si>
    <t>Код ДК 021:2015-30230000-0 Комп’ютерне обладнання (принтер 3 в1 Samsung M2070, принтер 3 в1 HP LaserJet Pro M28, принтер 3 в 1 KYOCERA ECOSYS FS-1020 MFP, материнська плата Asus Prime A320M sAM4, оптичний привід HITACHI GH24NSD5 SATA, комутатор TP-Link LS1005 5 порт., комутатор Gembird NP-SW5 5 порт., колонки до комп'ютера mini 2.0 USB)</t>
  </si>
  <si>
    <t>Код ДК 021:2015-30230000-0 Комп’ютерне обладнання (системний блок Logic Power, HP LCD Monitor 23"23 F/2XN59AA, набір клавіатури, миша  GAMEMAX KMC02-UA )</t>
  </si>
  <si>
    <t>Код ДК 021:2015-30230000-0 Комп’ютерне обладнання (системний блок Logic Power, HP LCD Monitor 23"23 F/2ХN59AA, набір клавіатури, миша  GAMEMAХ KMC02-UA )</t>
  </si>
  <si>
    <t>Код ДК 021:2015-31210000-1 Електрична апаратура для комутування та захисту електричних кіл (автомат АВ 3002/ЗН 63А, автомат АВ 3002/ЗН 80А, автомат ВА 47-29 Н3р, дін-рейка, шина ШС 3/63)</t>
  </si>
  <si>
    <t>Код ДК 021:2015-31210000-1 Електрична апаратура для комутування та захисту електричних кіл (автомат1 полюсний 25А )</t>
  </si>
  <si>
    <t>Код ДК 021:2015-31210000-1 Електрична апаратура для комутування та захисту електричних кіл (пакетник)</t>
  </si>
  <si>
    <t>Код ДК 021:2015-31220000-4 Елементи електричних схем (LR016-887 розека зв 2-а, LV010-880 вимикач зв 2-й, електролампа Б 230-75 Вт(гофра), електролампа Б 230-100 Вт(гофра), ізолента 21м жовто-зелена, вимикач авт. АСКО 3р/25А тип С, ліхтарик Акум на голову, кабельний канал 20*10м/п, кор. розп. зовн.80*80*40 7 вх (09596), ВШ16-016 вилка пряма з/з СВ-У, скоба з цвяхом 9мм плоске Аско, ШВВП 2*1,5, ізолента 21м Асорті, ліхтар TS-1139. ліхтар TS-1877 )</t>
  </si>
  <si>
    <t>Код ДК 021:2015-31220000-4 Елементи електричних схем (ВШ16-014 Вилка бокова з/з СВ-У, ЕН-2215 продовжувач 4г 3м б/з, ЕН-2216 продовжувач 4г 5м б/з, електролампа Б 230-75 Вт (гофра), електролампа Б 230-100 Вт (гофра), патрон Lemanso Е27 прямий на стіну бакеліт чорний LM129, провід ПВС 2*1,5 Нормал Україна, ШВВП 3*2,5 гост Одеса (диш))</t>
  </si>
  <si>
    <t>Код ДК 021:2015-31220000-4 Елементи електричних схем (ЕН-2216 продовжувач 4 г5м б/з, патрон Лемансо Е27, провід ПВС 2*1,5, ВШ 16-014 вилка бокова з/з СВ-У, ЕН-2215 продовжувач 4г3 м б/з, ШВВП 3*2,5,продовжувач на катушці 2*1,5 20м, ЕН-2110 розетка)</t>
  </si>
  <si>
    <t>Код ДК 021:2015-31220000-4 Елементи електричних схем (ТМ подовжувач, вимикач авт. АСКО, ВШ16-016 вилка пряма з/з СВ-У)</t>
  </si>
  <si>
    <t>Код ДК 021:2015-31220000-4 Елементи електричних схем (коробка Д60, №1, ЕН -2111 розетка вн 2-а зз, ВШ 16-014 вилка бокова з/з СВ-У, ВШ вилка пряма з/з СВ-У, LR016-885 розетка зв 1-а, LR016-890 розетка зв 2-а з/з)</t>
  </si>
  <si>
    <t>Код ДК 021:2015-31320000-5 Електророзподільні кабелі (провід ШВВП 2*1,5, ЕН-2209 продовжувач 3г 3м б/з, ЕН-2215 продовжувач 4г 3м б/з, ЕН-2221 продовжувач 4г 3м з/з з кн)</t>
  </si>
  <si>
    <t>Код ДК 021:2015-31410000-3 Гальванічні елементи (батарейки Варта (4 шт))</t>
  </si>
  <si>
    <t>Код ДК 021:2015-31410000-3 Гальванічні елементи (батарейки Варта міні, батарейки GP2032)</t>
  </si>
  <si>
    <t>Код ДК 021:2015-31410000-3 Гальванічні елементи (батарейки міні)</t>
  </si>
  <si>
    <t>Код ДК 021:2015-31410000-3 Гальванічні елементи (батарейки)</t>
  </si>
  <si>
    <t>Код ДК 021:2015-31430000-9 Електричні акумулятори (батарейка CR2016, CR2025, CR2032, батарейка R20 XL 2*shrink )</t>
  </si>
  <si>
    <t>Код ДК 021:2015-31430000-9 Електричні акумулятори (батарейка CR2032)</t>
  </si>
  <si>
    <t>Код ДК 021:2015-31430000-9 Електричні акумулятори (батарейка R-14, батарейка акумуляторна)</t>
  </si>
  <si>
    <t>Код ДК 021:2015-31430000-9 Електричні акумулятори (батарейка R14, батарейка акумуляторна, зарядний пристрій)</t>
  </si>
  <si>
    <t>Код ДК 021:2015-31510000-4 Електричні лампи розжарення (електролампа LED A60-12W E27 A60, електролампа Б230-100Вт (гофра), електролампа 10W E27 велика)</t>
  </si>
  <si>
    <t>Код ДК 021:2015-31510000-4 Електричні лампи розжарення (електролампа Б230-75 Вт, 100 Вт (гофра))</t>
  </si>
  <si>
    <t>Код ДК 021:2015-31510000-4 Електричні лампи розжарення (опромінювач бактерицидний ОБН-150 мл 10 шт)</t>
  </si>
  <si>
    <t>Код ДК 021:2015-31520000-7 Світильники та освітлювальна арматура (світильник Proti Tec LED 12W 120 Lm 4500Kel)</t>
  </si>
  <si>
    <t xml:space="preserve">Код ДК 021:2015-31651000-4 Електроізоляційна стрічка </t>
  </si>
  <si>
    <t>Код ДК 021:2015-32420000-3 Мережеве обладнання (маршрутизатор Tenda F3,маршрутизатор Mercusys MW 301R, комутатор T-Pinr TL-SF1005 5port, мережевий фільтр Gembird 5 розеток 1,8m )</t>
  </si>
  <si>
    <t>Код ДК 021:2015-32580000-2 Інформаційне обладнання (табличка на екобонді)</t>
  </si>
  <si>
    <t>Код ДК 021:2015-33110000-4 Візуалізаційне обладнання для потреб медицини, стоматології та ветеринарної медицини (Сканер ультразвуковий діагностичний НМ70А)(НК 024:2019-40761 Загальноприйнята ультразвукова система візуалізації)</t>
  </si>
  <si>
    <t>Код ДК 021:2015-33120000-7 Системи реєстрації медичної інформації та дослідне обладнання (Фетальний монітор L8 7 TFT displey F укомплектований контролем матері)</t>
  </si>
  <si>
    <t>Код ДК 021:2015-33120000-7 Системи реєстрації медичної інформації та дослідне обладнання (глюкометр Rightest (Райтест) GM550); Код ДК 021:2015-33120000-7 Системи реєстрації медичної інформації та дослідне обладнання (тест-смужки Rightest (Райтест) Elsa 50 шт)</t>
  </si>
  <si>
    <t>Код ДК 021:2015-33120000-7 Системи реєстрації медичної інформації та дослідне обладнання (глюкометр Rightest (Райтест) GM550, тест-смужки Rightest (Райтест) Elsa 50 шт)</t>
  </si>
  <si>
    <t>Код ДК 021:2015-33120000-7 Системи реєстрації медичної інформації та дослідне обладнання (дозатор 8-ми канальний змінного об'єму, серії А (код НК 024:2019-35734-Дозатор рідини лабораторний, ручний))</t>
  </si>
  <si>
    <t>Код ДК 021:2015-33120000-7 Системи реєстрації медичної інформації та дослідне обладнання (експрес-тест на визначення антигену до вірусу Covid-19)</t>
  </si>
  <si>
    <t>Код ДК 021:2015-33120000-7 Системи реєстрації медичної інформації та дослідне обладнання (електрокардіограф 12-канальний Care Well ECG-1112M (код НК 021:2019- 11407 електрокардіограф основного призначення))</t>
  </si>
  <si>
    <t>Код ДК 021:2015-33120000-7 Системи реєстрації медичної інформації та дослідне обладнання (набір для ІФА DIA-SARS-CoV-2-NP-LgM T1-12 T1-26M01C, 96 (8*12*2), набір для ІФА DIA-SARS-CoV-2-NP-LgG T1-12 T1-26G01C, 96 (8*12))</t>
  </si>
  <si>
    <t>Код ДК 021:2015-33120000-7 Системи реєстрації медичної інформації та дослідне обладнання (набір для ІФА DIA-SARS-CoV-2-NP-LgА T1-12 T1-26M01C, 96 (8*12))</t>
  </si>
  <si>
    <t>Код ДК 021:2015-33120000-7 Системи реєстрації медичної інформації та дослідне обладнання (напалечний пульсоксиметр MD 300C1)</t>
  </si>
  <si>
    <t>Код ДК 021:2015-33140000-3 Медичні матеріали ( шприц інсуліновий BD Micro Fine Plus 1мл U-100 G-29)</t>
  </si>
  <si>
    <t>Код ДК 021:2015-33140000-3 Медичні матеріали (Кріопробірка 2мл зі стійкою базою, градуйована, з полем для штрих-коду, вата мед. н/ст.100г гігроск. зіг-заг, аплікатор у транспортній пробірці пластиковий стрижень середовище Amses 10мл)</t>
  </si>
  <si>
    <t>Код ДК 021:2015-33140000-3 Медичні матеріали (Серветки спиртові (Irap)№100, пластир медичний на тканинній основі 3 см*500 см,  пластир медичний на тканинній основі 2,5 см*500 см в котушці з підвісом, пластир медичний на тканинній основі 1 см*500 см, пластир медичний "FP Family Plast" на тканинній основі 2,5 см*500 см, підгузники для дорослих Tena Slip Super Medium №30, підгузники для дорослих Tena Pants Normal Medium №30, підгузники для дорослих Tena Pants Normal Large №30(дихаючі), підгузники для дорослих SuperSeni Large №30. підгузники для дорослих Seni Active Normal Medium №10, лейкопластир кат 1 см*500 см Riverplast)</t>
  </si>
  <si>
    <t xml:space="preserve">Код ДК 021:2015-33140000-3 Медичні матеріали (Серветки спиртові (Irap)№100, пластир медичний на тканинній основі 3 см*500 см, пластир медичний на тканинній основі 2,5 см*500 см в котушці з підвісом, пластир медичний на тканинній основі 1 см*500 см, пластир медичний "FP Family Plast" на тканинній основі 2,5 см*500 см, підгузники для дорослих Tena Slip Super Medium №30, підгузники для дорослих Tena Pants Normal Medium №30, підгузники для дорослих Tena Pants Normal Large №30(дихаючі), підгузники для дорослих SuperSeni Large №30. підгузники для дорослих Seni Active Normal Medium №10, лейкопластир кат 1 см*500 см Riverplast)
</t>
  </si>
  <si>
    <t>Код ДК 021:2015-33140000-3 Медичні матеріали (аплікатор пластиковий стерильний в інд. уп., кріопробірка 2 мл зі стійкою базою, градуйована, з полем для штрих коду)</t>
  </si>
  <si>
    <t>Код ДК 021:2015-33140000-3 Медичні матеріали (бахіли п/медич., сечоприйма ALEXPHARM 2000мл з т-подібним клапаном, сис-ма ПК 21-02 №1, шприц інсуліновий 1 мл U-100)</t>
  </si>
  <si>
    <t>Код ДК 021:2015-33140000-3 Медичні матеріали (бинт марлевий н/ст 7 см*14, бинт марлевий н/ст 5*10 см, вата мед нест. 100г зіг-заг, голка для постан. підкл. катетера 1,5*1,0 (КВ-2))</t>
  </si>
  <si>
    <t>Код ДК 021:2015-33140000-3 Медичні матеріали (бульбашковий зволожувач Intersurgical Aquflow з ємністю, кисневий з'єднувач, подвійна зовнішня різьба)</t>
  </si>
  <si>
    <t>Код ДК 021:2015-33140000-3 Медичні матеріали (бульбашковий зволожувач intensurgical Aquflow, з ємністю, кисневий з'єднювач, подвійна зовнішня різьба)</t>
  </si>
  <si>
    <t>Код ДК 021:2015-33140000-3 Медичні матеріали (бульбашковий зволожувач, кисневий з'єднувач)</t>
  </si>
  <si>
    <t>Код ДК 021:2015-33140000-3 Медичні матеріали (вакуумна пробірка для забору крові без наповнювача, 13*75(4мл))</t>
  </si>
  <si>
    <t>Код ДК 021:2015-33140000-3 Медичні матеріали (вакуумна пробірка для забору крові з КзЕДТА, 13*75, 2 мл, стрерильна, №100, вакуумна пробірка для забору крові з цитратом натрію, 2,7 мл, 3,2%, №100 )</t>
  </si>
  <si>
    <t>Код ДК 021:2015-33140000-3 Медичні матеріали (вата медична гігроскопічна гігієнічна нестерильна ТМ "Юрія-Фарм", зигзагоподібна стрічка, 100г)</t>
  </si>
  <si>
    <t>Код ДК 021:2015-33140000-3 Медичні матеріали (відріз марлевий 1000*90 см нестерильний); Код ДК 021:2015-33140000-3 Медичні матеріали (подовжувач інфузійних помп PPI 150LL)</t>
  </si>
  <si>
    <t>Код ДК 021:2015-33140000-3 Медичні матеріали (відріз марлевий 1000*90 см нестерильний, подовжувач інфузійних помп PPI 150LL)</t>
  </si>
  <si>
    <t>Код ДК 021:2015-33140000-3 Медичні матеріали (відріз марлевий 1000*90 см нестерильний, шприц одноразовий з голкою 5 мл)</t>
  </si>
  <si>
    <t>Код ДК 021:2015-33140000-3 Медичні матеріали (голка спінальна BD Spinal Needle, G25, аплікатор пластиковий стерильний в інд. уп., кріопробірка 2 мл зі стійкою базою, градуйована, з полем для штрих-коду, голка для підключичного катетеру КВ-2, катетер для підключичного катетеру КВ-2 )</t>
  </si>
  <si>
    <t>Код ДК 021:2015-33140000-3 Медичні матеріали (дзеркало горлове, лійка вушна нікельована, балон медичний по Поліцеру, воронка вушна Зігля, дзеркало носове, рефлектор лобний Ziegler d90, пінцет вушний зігнутий, ножиці 140 мм з 1 гострим кінцем зігнуті,пінцет анатомічний 150 мм, пінцет хірургічний 150 мм, скарифікатор (ланцет) №200, лоьок з нержавіючої сталі н/п 280мм, ножиці 160мм зігнуті, ножиці загострені вертикально зігнуті дов. 11,3 см, ножиці14 мм тупокінцеві зігнуті, гачок Кохер однозубний гострий, розширювач для трахеї, пінцет хірургічний очний, джут в/в, пластир мед на бавовняній основі 2см*5м, голки хірургічні)</t>
  </si>
  <si>
    <t>Код ДК 021:2015-33140000-3 Медичні матеріали (дорослий тримач ендотрахеальної трубки (038-96-001), повітровід Williams, 9 см (038-90-909), повітровід Williams, 10 см (038-90-910), маска ларингеальна LarySeal Pro роз. 2 (038-94-820))</t>
  </si>
  <si>
    <t>Код ДК 021:2015-33140000-3 Медичні матеріали (захисна маска тришарова СМС)</t>
  </si>
  <si>
    <t>Код ДК 021:2015-33140000-3 Медичні матеріали (захисний лицьовий щиток); Код ДК 021:2015-33140000-3 Медичні матеріали (маска медична №1); Код ДК 021:2015-33140000-3 Медичні матеріали (маска фільтрувальна БУК-КЗ FFP3 NR); Код ДК 021:2015-33140000-3 Медичні матеріали (рукавиці нітрилові CEROS р. L); Код ДК 021:2015-33140000-3 Медичні матеріали (рукавиці нітрилові CEROS р. М); Код ДК 021:2015-33140000-3 Медичні матеріали (рукавиці нітрилові CEROS р. S)</t>
  </si>
  <si>
    <t>Код ДК 021:2015-33140000-3 Медичні матеріали (захисний лицьовий щиток, маска захисна тришарова на резинках  SMS тришарова, на гумці, опромінювач бактерицидний ОБН-150 мл, півмаска фіксувальна БУК-КЗ FFP3 NR, термометр безконтактний інфрачервоний AFK YK-001)</t>
  </si>
  <si>
    <t>Код ДК 021:2015-33140000-3 Медичні матеріали (захисний лицьовий щиток, маска медична №1, півмаска фільтрувальна БУК-КЗ FFP3 NR)</t>
  </si>
  <si>
    <t>Код ДК 021:2015-33140000-3 Медичні матеріали (захисний лицьовий щиток, маска медична №1, півмаска фільтрувальна БУК-КЗ FFP3 NR, рукавиці нітрилові CEROS р. L,M,S)</t>
  </si>
  <si>
    <t>Код ДК 021:2015-33140000-3 Медичні матеріали (захисний лицьовий щиток, маска медична №1, півмаска фільтрувальна БУК-КЗ FFP3 NR, рукавиці нітрилові Irap p L, рукавиці нітрилові Irap p М, рукавиці оглядові нітрилові н/с Нітрілекс базік S неприпудрені)</t>
  </si>
  <si>
    <t>Код ДК 021:2015-33140000-3 Медичні матеріали (захисний лицьовий щиток, маска медична №1, півмаска фільтрувальна БУК-КЗ FFP3 NR, рукавиці нітрилові Irap р, S)</t>
  </si>
  <si>
    <t>Код ДК 021:2015-33140000-3 Медичні матеріали (канюля в/в G22); Код ДК 021:2015-33140000-3 Медичні матеріали (канюля в/в G24)</t>
  </si>
  <si>
    <t xml:space="preserve">Код ДК 021:2015-33140000-3 Медичні матеріали (канюля в/в G22, канюля в/в G24)
</t>
  </si>
  <si>
    <t>Код ДК 021:2015-33140000-3 Медичні матеріали (катетер (канюля)в/в G20, G22, G24, система для вливання інфузійного розчину ПР)</t>
  </si>
  <si>
    <t xml:space="preserve">Код ДК 021:2015-33140000-3 Медичні матеріали (катетер Вазофікс Браунюля G22 0,9*25 мм синій,катетер Вазофікс Браунюля G20  1,1*33 мм рожевий) </t>
  </si>
  <si>
    <t>Код ДК 021:2015-33140000-3 Медичні матеріали (катетер Вазофікс Браунюля)</t>
  </si>
  <si>
    <t>Код ДК 021:2015-33140000-3 Медичні матеріали (катетер Вазофікс Браунюля, ємкість для забору сечі)</t>
  </si>
  <si>
    <t>Код ДК 021:2015-33140000-3 Медичні матеріали (катетер Метелик 23 G Irap, катетер Вазофікс Сейфеті PUR G 24 0.7*19 мм жовтий, катетер Вазофікс  Браунюля G 0.9*25 мм синій, катетер Вазофікс Браунюля G20 1.1*33. мм рожевий, ємність для засобу сечі 125 мл ст, ємність для біологічних рідин50мл ст., респіратор БУК-3,FFP3 )</t>
  </si>
  <si>
    <t>Код ДК 021:2015-33140000-3 Медичні матеріали (катетер Фолея, катетер метелик, катетерВазофікс Браунюля, ємність для забору сечі 125 мл)</t>
  </si>
  <si>
    <t>Код ДК 021:2015-33140000-3 Медичні матеріали (катетер в/в Венфлон 22 G, катетер в/в Венфлон 23 G метелик, тара д/збору сечі стер. 120мл. Гемопласт, леза до скальпелів №23, бинт марлевий мед. стерильний 5м*10см, тип 17 №1)</t>
  </si>
  <si>
    <t>Код ДК 021:2015-33140000-3 Медичні матеріали (катетер метелик 23 G Irap)</t>
  </si>
  <si>
    <t>Код ДК 021:2015-33140000-3 Медичні матеріали (катетер метелик 23 G Irap, катетер Вазофікс Сейфеті PUR G24, катетет Канюля Medicare G22)</t>
  </si>
  <si>
    <t>Код ДК 021:2015-33140000-3 Медичні матеріали (кріопробірка 2 мл зі стійкою базою, градуйована з полем для штрих-коду, гель УЗД, гель для ЕКГ, вата медична н/ст, бинт медичний н/с, аплікатор у транспортній пробірці пластиковий стрижень середовище Amses 10мл)</t>
  </si>
  <si>
    <t>Код ДК 021:2015-33140000-3 Медичні матеріали (марля, шприц 5 мл 2-ма голками (3-комп.), шприц 5 мл 2-ма голками (2-х-комп.), шприц інсуліновий 1мл U-100)</t>
  </si>
  <si>
    <t>Код ДК 021:2015-33140000-3 Медичні матеріали (маска медична №1); Код ДК 021:2015-33140000-3 Медичні матеріали (півмаска фільтрувальна БУК-КЗ FFP3 NR)); Код ДК 021:2015-33140000-3 Медичні матеріали (рукавиці нітрилові CEROS р. L); Код ДК 021:2015-33140000-3 Медичні матеріали (рукавиці нітрилові CEROS р. М); Код ДК 021:2015-33140000-3 Медичні матеріали (рукавиці нітрилові CEROS р.S)</t>
  </si>
  <si>
    <t>Код ДК 021:2015-33140000-3 Медичні матеріали (маска медична №1, півмаска фільтрувальна БУК-КЗ FFP3 NR, рукавиці нітрилові CEROS р. L,M,S)</t>
  </si>
  <si>
    <t>Код ДК 021:2015-33140000-3 Медичні матеріали (маска медична №1, рукавиці нітрилові Irap р, S)</t>
  </si>
  <si>
    <t>Код ДК 021:2015-33140000-3 Медичні матеріали (маскаи захисні тришарові на резинках SMS тришарові , на гумці)</t>
  </si>
  <si>
    <t>Код ДК 021:2015-33140000-3 Медичні матеріали (мурашиний спирт, серветки спиртові, скарифікатор Medicare №200, тест СІТО TEST Гепатит В (HBsAg), тест на вагітність Teta №1 смужка)</t>
  </si>
  <si>
    <t>Код ДК 021:2015-33140000-3 Медичні матеріали (отоскоп Eurolightr C10 з установчим гвинтом, набір ларингоскопічний WL для дорослих, вага TBEL-20-10-(300*550)-13а-М, зонд по Directors, вушний гудзиковий Surgiwelomed, довжина 8 см, діаметр 1мм, зонд по Directors, носовий з навивкою Surgiwelomed, довжина 14 см, діаметр 1мм, ручка скальпеля мала Surgiwelomed, довжина 12 см, пінцет вушний по Lucae, багнетоподібний анатомічний Surgiwelomed, довжина 14 см, шприц з силіконовим кільцем на поршні для промивання порожнин 100-150 см з подвійною шкалою, нитка хірургічна стрерильна USP2 (M6), кетгут полірований, відрізок 1,5м)</t>
  </si>
  <si>
    <t>Код ДК 021:2015-33140000-3 Медичні матеріали (півмаска фільтрувальна БУК-КЗ FFP3 NR, рукавиці оглядові нітрилові нестерильні Нітролекс блек неприпудрені (р.L,S,M))</t>
  </si>
  <si>
    <t>Код ДК 021:2015-33140000-3 Медичні матеріали (півмаска фільтрувальна, БУК-КЗ FFP3 NR, маска захисна тришарова на резинках, рукавиці нітрилові CEROS (р.L,S,M), рукавиці нітрилові Irap (р.L,S,M))</t>
  </si>
  <si>
    <t>Код ДК 021:2015-33140000-3 Медичні матеріали (рукавиці Irap огл. ст. латексні, маска медична трьохшарова захисна)</t>
  </si>
  <si>
    <t>Код ДК 021:2015-33140000-3 Медичні матеріали (рукавиці медичні ог. нітрилові б/пудри текст нестер.)</t>
  </si>
  <si>
    <t>Код ДК 021:2015-33140000-3 Медичні матеріали (рукавиці медичні сині)</t>
  </si>
  <si>
    <t>Код ДК 021:2015-33140000-3 Медичні матеріали (рукавиці медичні)</t>
  </si>
  <si>
    <t>Код ДК 021:2015-33140000-3 Медичні матеріали (рукавиці нітрилові CEROS p.L. голубі, рукавиці нітрилові CEROS p.S. голубі, рукавиці нітрилові CEROS p.M. голубі,)</t>
  </si>
  <si>
    <t>Код ДК 021:2015-33140000-3 Медичні матеріали (рукавички оглядові нітрилові нестерильні Irap розмір L (8-9), пара неприпудр. №1, рукавички оглядові нітрилові нестерильні Irap розмір S (6-7), пара неприпудр. №1, рукавички оглядові нітрилові нестерильні Irap розмір M (7-8), пара неприпудр. №1)</t>
  </si>
  <si>
    <t>Код ДК 021:2015-33140000-3 Медичні матеріали (серветки спиртові, кріопробірка зі стійкою базою, джгут з застібкою, вата медична, аплікатор пластиковий, CITO TEST д/визн антитіл до вірусу)</t>
  </si>
  <si>
    <t>Код ДК 021:2015-33140000-3 Медичні матеріали (сечоприймач зі зливним клапаном і трубкою 90 см 2000мл, шапочка-берет мед. н/ст (спанбонд-13г/м2) 1220101)</t>
  </si>
  <si>
    <t>Код ДК 021:2015-33140000-3 Медичні матеріали (система ПР (без фталатів), шприц 2-комп. 1 голка ЮФ 2 мл, шприц 2-комп. 1 голка ЮФ 5 мл, шприц 2-комп. 1 голка ЮФ 10 мл, шприц 2-комп. 1 голка ЮФ 20 мл, шприц 2-комп. 2 голки ЮФ 2 мл 22G/23G безпечна голка, шприц 2-комп. 2 голки ЮФ 5 мл 22G/22G безпечна голка, шприц 2-комп. 2 голки ЮФ 10 мл 22G/21G безпечна голка)</t>
  </si>
  <si>
    <t>Код ДК 021:2015-33140000-3 Медичні матеріали (система без фталатів для вливання кровозамінників та інфузійних р-нів, шприц 10 ml луєр двохкомпонентний  ін'єкційний одноразового застосування з голкою 0,8*38 mm (21Gx1 1/2), шприц 2ml луєр двохкомпонентний  ін'єкційний одноразового застосування з голкою 0,6*32 mm (23Gx1 1/4), шприц 5 ml луєр двохкомпонентний  ін'єкційний одноразового застосування з голкою 0,7*38 mm (22Gx1 1/2), шприц 10 ml луєр двохкомпонентний  ін'єкційний одноразового застосування з двома голками 0,7*38 mm (22Gx1 1/2)/0,8*38mm (21Gx1 1/2 "безпечна голка"), шприц 2 ml луєр двохкомпонентний  ін'єкційний одноразового застосування з двома голками 0,7*38 mm (22Gx1 1/2)/0,6*32mm (23Gx1 1/4 "безпечна голка"),шприц 5 ml луєр двохкомпонентний  ін'єкційний одноразового застосування з двома голками 0,7*38 mm (22Gx1 1/2)/0,7*38mm (22Gx1 1/2 "безпечна голка"))</t>
  </si>
  <si>
    <t xml:space="preserve">Код ДК 021:2015-33140000-3 Медичні матеріали (система для в/в вливань ПР, катетер (канюля) в/в з інєкц. портом G20 стерильна, катетер (канюля) в/в з інєкц. портом G22 стерильна, катетер (канюля) в/в з інєкц. портом G24 стерильна, катетер (канюля) в/в типу "метелик" 23G однораз. використання
</t>
  </si>
  <si>
    <t>Код ДК 021:2015-33140000-3 Медичні матеріали (система для в/в вливань ПР, шприц ін'єкційний одноразового використання 10 мл, 2 мл,20 мл,1,0 мл, катетер (канюля) в/в типу "метелик" 23 G одноразового використання, катетер (канюля) в/в G22,G 24, ємність для сечі стерильна 60мл, сечоприймач з отвором для зливу стерильний 2000 мл, подовжувач ULTRAMED з 3-ходовим краником для інфузійних систем 200 см, стерильний, подовжувач ULTRAMED  для інфузійних систем 200 см, стерильний, дорослий тримач  ендотрахеальної  трубки (038-96-001), повітровід Willams, 10 см (038-90-910),  повітровід Willams, 9 см (038-90-909))</t>
  </si>
  <si>
    <t>Код ДК 021:2015-33140000-3 Медичні матеріали (шапочка-берет мед. н/ст., №100 шт. (спанбонд), ємність-контейнер для забору сечі ст. 120 мл)</t>
  </si>
  <si>
    <t>Код ДК 021:2015-33140000-3 Медичні матеріали (шапочка-берет медична №100)</t>
  </si>
  <si>
    <t>Код ДК 021:2015-33140000-3 Медичні матеріали (шапочка-берет спабонд н/стерил №1)</t>
  </si>
  <si>
    <t>Код ДК 021:2015-33140000-3 Медичні матеріали (шапочка-кульбабка "Волес" з нетканого матеріалу)</t>
  </si>
  <si>
    <t>Код ДК 021:2015-33140000-3 Медичні матеріали (шовк №3 (2/0), тест-смужки Rightest ELSA, ручка для скальпеля, напальничники медичні гумові, леза для скальпелю "Medicare" (23) №1, бинт нестерильний  7м*14см, бинт нестерильний  5м*10см)</t>
  </si>
  <si>
    <t>Код ДК 021:2015-33140000-3 Медичні матеріали (шприй 2 мл луєр трьохкомпонентний з двома голками ін'єкційний одноразового застосування 0,6*32 мм (23G*1 1/4)/0,55*25 мм (24G*1))</t>
  </si>
  <si>
    <t xml:space="preserve">Код ДК 021:2015-33140000-3 Медичні матеріали (шприц 10 мл №1, шприц ін'єкційний 3-х компонентний Алекс-фарм 10 мл, голка 21 G (0,8*40 мм) №1, шприц ін'єкційний 3-х компонентний Алекс-фарм 2 мл, голка 23 G (0,6*30 мм) №1, шприц ін'єкційний 3-х компонентний Алекс-фарм 20 мл, голка 21 G (0,8*40 мм) №1, шприц ін'єкційний 3-х компонентний Алекс-фарм 5 мл, голка 22 G (0,7*40 мм) №1, шприц інсуліновий 3-х компонентний Алекс-фарм U-100 1 мл, голка 30 G (0,3*13 мм) №1)
</t>
  </si>
  <si>
    <t>Код ДК 021:2015-33140000-3 Медичні матеріали (шприц 2 ml луєр двохкомпонентний ін'єкційний одноразового застусування з голкою 0,6*32 ml (23 G*1 1/4) шприц 5 ml луєр двохкомпонентний ін'єкційний одноразового застусування з голкою 0,7*38 ml (22 G*1 1/2))</t>
  </si>
  <si>
    <t>Код ДК 021:2015-33140000-3 Медичні матеріали (шприц луєр двохкомпонентний ін'єкційний одноразового застосування з голкою (10 ml,2 ml, 20 ml, 5ml), шприц луєр двохкомпонентний ін'єкційний одноразового застосування з двома голками (10 ml,2 ml,5ml), система без фталатів для вливання кровозамінників та інфузійних розчинів )</t>
  </si>
  <si>
    <t>Код ДК 021:2015-33140000-3 Медичні матеріали (шприц одноразовий з голкою 5 мл, 10 мл, 20 мл)</t>
  </si>
  <si>
    <t>Код ДК 021:2015-33140000-3 Медичні матеріали (шприц одноразовий з голкою 5 мл, шприц одноразовий з голкою 10 мл, шприц одноразовий з голкою 20 мл)</t>
  </si>
  <si>
    <t>Код ДК 021:2015-33140000-3 Медичні матеріали (шприц ін'єкційний одноразового використання 2 мл, шприц ін'єкційний одноразового використання 5 мл, шприц ін'єкційний одноразового використання 10 мл, шприц ін'єкційний одноразового використання 20 мл, шприц ін'єкційний одноразового використання 1 мл, система для в/в вливань ПР, система для переливання крові одноразова ПК, катетер (канюля) в/в типу "метелик" 23 G одноразового використання, катетер (канюля) в/в G22, катетер (канюля) в/в G24, маска киснева EcoLite для дорослих, для забезпечення високої концентрації кисню з кисневою трубкою)</t>
  </si>
  <si>
    <t>Код ДК 021:2015-33140000-3 Медичні матеріали (шприц ін'єкційний одноразового використання 2 мл; Код ДК 021:2015-33140000-3 Медичні матеріали (шприц ін'єкційний одноразового використання 5 мл; Код ДК 021:2015-33140000-3 Медичні матеріали (шприц ін'єкційний одноразового використання 10 мл; Код ДК 021:2015-33140000-3 Медичні матеріали (шприц ін'єкційний одноразового використання 20 мл; Код ДК 021:2015-33140000-3 Медичні матеріали (шприц ін'єкційний одноразового використання 1 мл; Код ДК 021:2015-33140000-3 Медичні матеріали (система для в/в вливань ПР); Код ДК 021:2015-33140000-3 Медичні матеріали (система для переливання крові одноразова ПК); Код ДК 021:2015-33140000-3 Медичні матеріали (катетер (канюля) в/в типу "метелик" 23 G одноразового використання; Код ДК 021:2015-33140000-3 Медичні матеріали (катетер (канюля) в/в G22); Код ДК 021:2015-33140000-3 Медичні матеріали (катетер (канюля) в/в G24); Код ДК 021:2015-33140000-3 Медичні матеріали (маска киснева EcoLite для дорослих, для забезпечення високої концентрації кисню з кисневою трубкою)</t>
  </si>
  <si>
    <t>Код ДК 021:2015-33140000-3 Медичні матеріали (шприц інсуліновий BD Micro Fine Plus 1 мл U-100 G-29, шапочка-берет мед. не/ст (спанбонд), катетер Вазофікс Браунюля G 22 0.9*25 мм синій, катетер Вазофікс Браунюля G 20 1,1*33 мм рожевий)</t>
  </si>
  <si>
    <t>Код ДК 021:2015-33140000-3 Медичні матеріали (шприц інсуліновий BD Micro-Fine U-100 1 мл G29 №10)</t>
  </si>
  <si>
    <t>Код ДК 021:2015-33140000-3 Медичні матеріали (шприц інсуліновий, сечоприймач, респіратор БУК-ЗК (50ГДК) з клапаном, кететер)</t>
  </si>
  <si>
    <t>Код ДК 021:2015-33140000-3 Медичні матеріали (ємність для збору сечі)</t>
  </si>
  <si>
    <t>Код ДК 021:2015-33151000-3 Радіотерапевтичні апарати та приладдя (концентратор кисню для медичного використання OLV-10)</t>
  </si>
  <si>
    <t>Код ДК 021:2015-33157110-9 Кисневі маски (киснева маска Eco Life для дорослих, для забезпечення високої концентрації кисню з кисневою трубкою)</t>
  </si>
  <si>
    <t>Код ДК 021:2015-33157110-9 Кисневі маски (киснева маска доросла з кисневою трубкою і мішком для забезпечення високої концентрації кисню, киснева маска для дорослих з носовим затискачем і кисневою трубкою 1,8 м)</t>
  </si>
  <si>
    <t>Код ДК 021:2015-33157110-9 Кисневі маски (маска киснева Ecolite для дорослих для забезпечення високої концентрації кисню з кисневою трубкою)</t>
  </si>
  <si>
    <t>Код ДК 021:2015-33157800-3 Киснеподавальні пристрої (концентратор кисню для медичного користування OLV-10)</t>
  </si>
  <si>
    <t>Код ДК 021:2015-33162200-5 Інструменти для операційних блоків (дзеркало вагінальне по Куско (105*95*25, 115*100*30, 125*105*35), дзеркало-підйомник по Отто (№1,№2), дзеркало по Сімсу (№2,№3), ножниці медичні 170 мм, ножниці медичні т/к 140 мм в/зігнуті, зонд матковий прямий, щипці маткові однозубі (кульовки) дов 25,5 см, затискач Кохера 1*2 зубий зігнутий (200 мм,160 мм), затискач Москіт прямий 125мм, екстрактор по Yasargil, вмс прямий SURGIWELOMED, довжина 29,0 см, конхотом з круглим отвором, голкотримач, розширювач по Hegal, каналу шийки матки SURGIWELOMED (діаметр 1,0 мм, 1,5 мм, 2,0 мм, 2,5 мм, 3,0 мм, 3,5 мм, 4,0 мм, 4,5 мм, 5,0 мм, 5,5 мм, 6,0 мм, 6,5 мм, 7,0 мм, 7,5 мм, 8,0 мм, 8,5 мм, 9,0 мм )</t>
  </si>
  <si>
    <t>Код ДК 021:2015-33169300-5 Хірургічні лотки (лоток нержавійка 30*40 прямокутний, лоток нержавійка 30*22 прямокутний)</t>
  </si>
  <si>
    <t>Код ДК 021:2015-33171300-2 Набори чи комплекти для епідуральної анестезії (Набір для епідуральної анестезії з фільтром)</t>
  </si>
  <si>
    <t>Код ДК 021:2015-33190000-8 Медичне обладнання та вироби медичного призначення різн (кардіопапір СДЕ3, протимікробний килимок блакитний (60*90см) брудозахисний  30-шаровий )</t>
  </si>
  <si>
    <t>Код ДК 021:2015-33190000-8 Медичне обладнання та вироби медичного призначення різн (кардіопапір СДЕ3, протимікробний килимок блакитний (60*90см) брудозахисний 30-шаровий )</t>
  </si>
  <si>
    <t>Код ДК 021:2015-33190000-8 Медичне обладнання та вироби медичного призначення різні (CITO TEST тест д/визн. HBsAg вірусу гепатиту В (цільна кров, сироватка, плазма) пороговий рівень 1нг/м, CITO TEST тест д/визн. антитіл до вірусу гепатиту С (цільна кров, сироватка, плазма), CITO TEST Cardio Combo №1 тест д/визн. міоглобіну/КК МВ/тропоніну)</t>
  </si>
  <si>
    <t>Код ДК 021:2015-33190000-8 Медичне обладнання та вироби медичного призначення різні (Кисневий концентратор 10л/хв. OLV-10, НК 024:2019- 12873 -Стаціонарний концентратор кисню)</t>
  </si>
  <si>
    <t>Код ДК 021:2015-33190000-8 Медичне обладнання та вироби медичного призначення різні (Костюм біологічного захисту (халат ізоляційний медичний одноразовий, комбінезон захисний ізоляційний, бахіли))</t>
  </si>
  <si>
    <t>Код ДК 021:2015-33190000-8 Медичне обладнання та вироби медичного призначення різні (НК 024:2019:47590-пробірка вакуумна для відбору зразків крові IVD, без добавок, код УКТЗЕД-3923,3926,7010-ємності стерильні для відбору біологічного матеріалу)</t>
  </si>
  <si>
    <t>Код ДК 021:2015-33190000-8 Медичне обладнання та вироби медичного призначення різні (автоклав, ГК (стерилізатор паровий), код НК 024:2019:38671- стерилізатор паровий (автоклав))</t>
  </si>
  <si>
    <t>Код ДК 021:2015-33190000-8 Медичне обладнання та вироби медичного призначення різні (автоклав, ГК-75 (стерилізатор паровий), код НК 024:2019:38671- стерилізатор паровий (автоклав))</t>
  </si>
  <si>
    <t>Код ДК 021:2015-33190000-8 Медичне обладнання та вироби медичного призначення різні (вакуумна пробірка Vacumed 13*75 мм, стерильна з КЗ EDTA (для 2 мл крові, з фіолетовою кришкою) 100шт, вакуумна пробірка Vacumed 13*75 мм, стерильна без консервантів (4 мл, з червоною кришкою) 100шт, вакуумна пробірка Vacumed 13*75 мм, стерильна цитрат натрію (3,2%) (для 2,7 мл крові, коагуляція, з світло-блакитною кришкою) 100шт)</t>
  </si>
  <si>
    <t>Код ДК 021:2015-33190000-8 Медичне обладнання та вироби медичного призначення різні (глюкоза СP R1, креатинін R1,альбумін, R1,аланінамінотрансфераза, аспартатамінотрансфераза, холостерин загальний, контроль біохімічна норма, голка для вакуумного забору крові, касова стрічка, папір для СС 3003, гамма ГТ,, білірубін прямий , білірубін загальний)</t>
  </si>
  <si>
    <t>Код ДК 021:2015-33190000-8 Медичне обладнання та вироби медичного призначення різні (голка для вакуумного забору крові 0,8*33 мм (21G*1 1/2))</t>
  </si>
  <si>
    <t>Код ДК 021:2015-33190000-8 Медичне обладнання та вироби медичного призначення різні (зволожувач кисню з ротаметром до вентиля ВКм (М16*1,5)Хром)</t>
  </si>
  <si>
    <t>Код ДК 021:2015-33190000-8 Медичне обладнання та вироби медичного призначення різні (код НК 024:2019-42585 Пробірка вакуумна для взяття зразків крові, з цитратом натрію, IVD (ємність для відбору зразків крові, вакуумна стерильна, 5 мл з цитратомнатрію, №100), НК 024:2019:47590- Пробірка вакуумна для відбору зразків крові IVD, без добавок (ємність для відбору зразків крові, вакуумна стерильна 13*75, без наповнбвача, №100), код НК 024:2019-58143 Пробірка для збору зразків крові не вакуумна ІВД, з К3EDTA, код УКТЗЕД-3923,3926,7010-Ємності для відбору біологічного матеріалу (ємність для відбору зразків крові, вакуумна, стерильна, 200 мкл, з КЗЕДТА, №20))</t>
  </si>
  <si>
    <t>Код ДК 021:2015-33190000-8 Медичне обладнання та вироби медичного призначення різні (костюми біологічного захисту (полотно неткане спабонд))</t>
  </si>
  <si>
    <t>Код ДК 021:2015-33190000-8 Медичне обладнання та вироби медичного призначення різні (мішок пластиковий санітарний "МПС-2005", щитки захисні)</t>
  </si>
  <si>
    <t>Код ДК 021:2015-33190000-8 Медичне обладнання та вироби медичного призначення різні (опромінювач бактерецидний побутовий ОББ -75 м)</t>
  </si>
  <si>
    <t>Код ДК 021:2015-33190000-8 Медичне обладнання та вироби медичного призначення різні (пульсоксиметр CMS50C, стрічка діаграмна 110*20)</t>
  </si>
  <si>
    <t>Код ДК 021:2015-33190000-8 Медичне обладнання та вироби медичного призначення різні (рециркулятор ультрафіолетовий бактерицидний Аерекс, коробка стерилізаційна з нержавіючої сталі)</t>
  </si>
  <si>
    <t>Код ДК 021:2015-33190000-8 Медичне обладнання та вироби медичного призначення різні (термостат лабораторний ГП (код НК 024:2019-36785- Термостат загального призначення))</t>
  </si>
  <si>
    <t>Код ДК 021:2015-33190000-8 Медичне обладнання та вироби медичного призначення різні (тонометр Microlife BP A2 Classic (автомат), тест-смужки GAMMA MS №50 (для визначення глюкози в крові), глюкометр GAMMA MINI)</t>
  </si>
  <si>
    <t>Код ДК 021:2015-33190000-8 Медичне обладнання та вироби медичного призначення різні (халат ізоляційний медичний одноразовий)</t>
  </si>
  <si>
    <t>Код ДК 021:2015-33190000-8 Медичне обладнання та вироби медичного призначення різні(стрічка діаграмна, система для контролю рівня  глюкози у крові Акку-Чек Актив (Модель GB) м/моль/л, тест-смужка Акку-Чек Актив)</t>
  </si>
  <si>
    <t>Код ДК 021:2015-33199000-1 Одяг для медичного персоналу (комбінезони балонові)</t>
  </si>
  <si>
    <t>Код ДК 021:2015-33600000-6 Фармацевтична продукція ( папаверин )</t>
  </si>
  <si>
    <t>Код ДК 021:2015-33600000-6 Фармацевтична продукція (Lysine, Metamizole sodium, Magnesium (different salts in combination), Hexamethonium bromide, Vancomycin , Verapamil, Nicotinic acid, Ascorbic acid (vit C), Pyridoxine (vit B6), Cefoperazone, Hydazepam, Glucose, Glucose, Diclofenac, Bendazol, Digoxin, Diphenhydramine, Suxamethonium, Etamsylate, Theophylline, Iodine, Isosorbide dinitrate, Calcium chloride, Mono, Caffeine and sodium benzoate, Drotaverine, Papaverine, Hydrogen peroxide, Electrolytes, Protamine, Formic acid, Sulfocamphocain, Electrolytes, Piperacillin and beta-lactamase inhibitor, Sodium chloride)</t>
  </si>
  <si>
    <t>Код ДК 021:2015-33600000-6 Фармацевтична продукція (Адреналін-Дарниця, р-н д/ін. 1,8 мг/мл амп.1 мл, контурн. чарунк. уп., пачка №10, Гепарин-Фармекс р-н д/ін. 5000 МО/мл фл.5 мл. №5, Дексаметазон-Дарниця р-н д/ін.4 мг/мл амп. 1мл №10, Магнію сульфат-Дарниця р-н д/ін. 250 мг/мл, амп. 5 мл, контурн. чарунк. уп №10, Лазолекс р-н д/ін. 7,5 мг/мл амп. 2 мл №5, Медаксон пор. д/п ін. р-ну 1 г фл. №10, Бімол р-н д/інф. 10 мг/мл фл. 100 мл №1, Фармасулін Н р-н д/ін. 100 МО/мл. фл. 10 мл №1, Фуросемід-Дарниця р-н д/ін 10 мг/мл амп. 2 мл., контурн. чарунк. уп., пачка №10 )</t>
  </si>
  <si>
    <t>Код ДК 021:2015-33600000-6 Фармацевтична продукція (Армадін  Лонг 500 мг №40 табл.)</t>
  </si>
  <si>
    <t>Код ДК 021:2015-33600000-6 Фармацевтична продукція (Армадін Лонг 500 мг №40 табл.)</t>
  </si>
  <si>
    <t>Код ДК 021:2015-33600000-6 Фармацевтична продукція (Левопро р-н д/інф. 500мг 150 мл №1)</t>
  </si>
  <si>
    <t>Код ДК 021:2015-33600000-6 Фармацевтична продукція (Рінгера розсин200мл, метронідазол, розчин д/інф,5мг/мл, клексан 4000 МО шприц 0,4 мл, амоксиклав порошок д/п розчину 1200 мг)</t>
  </si>
  <si>
    <t>Код ДК 021:2015-33600000-6 Фармацевтична продукція (Фромілід-Уно  500 мг №7 табл, Лефлокон розчин л/інф 500 мг/мл 100мл)</t>
  </si>
  <si>
    <t>Код ДК 021:2015-33600000-6 Фармацевтична продукція (Цефепім пор. д/іін. 1000 мг, реосорбілакт р-н 200мл, мефенамінова кислота 500 мн, лефлок р-н д/інф 500 мг/мл, аерофілін 400мг табл.)</t>
  </si>
  <si>
    <t>Код ДК 021:2015-33600000-6 Фармацевтична продукція (Цибор 2500 розчин д/ін. шприц 0,2мл, азитроміцін-Фармекс пор д/інф 500мг, тіотриазолін 2,5%  амп 2 мл, супрасти 20 мг, пангастро фл 40 мг, но-шпа 40 мг 2 мл, ніфуроксазид капс 200 мг, натрію хлорид 0,9% 5мл, муцитус капс 300 мг, мурашиний спірт 50 мг, мезатон,1% 1 мл, кордіамін 2 мл,корглікон 0,06%, ентерол 250 мг,дротаверин-Дарниця розчин 2% 2 мл, аспаркам 5 мл, амінокапронова к-та 5%, аміаку розчин 10%, азитроміцин -Фармекс пор д/інф 500 мг)</t>
  </si>
  <si>
    <t>Код ДК 021:2015-33600000-6 Фармацевтична продукція (адреналін, амоксил-К,атропін, біосепт, дексаметазон, лінезолідин, магнію сульфат, медоклав, муколван, флукап, фуросемід)</t>
  </si>
  <si>
    <t>Код ДК 021:2015-33600000-6 Фармацевтична продукція (азимед табл., біосепт р-н, гемотран р-р д/і, дексаметазол, лідокаїн, меленам, моксимак, натрію хлорид, сельтавір капс. спирт етиловий, фденокс, флуконазол, цефтріаксон, бетадин р-н)</t>
  </si>
  <si>
    <t>Код ДК 021:2015-33600000-6 Фармацевтична продукція (азимед табл., гемотран р-р 100мг/мл амп.5 мл №5, дексаметазон р-н д/ін. 4мг амп.1мл №10, меленам пор. д/ін 1000 мг фл №1,моксимак р-н  д/інф. 400мг/250 мл конт. 250мл, муколван р-р д/ін 0,75% амп. 2 мл №5, натрія аденозинтрифосфат р-н д/ін 10мг/мл амп 1 мл №10, омепразол ліофіл. д/р-ра д/інф. 40мг фл №1, сельтавір капс. тв. 75 мг №10(10*1) блист, фленокс р-н д/ін 10000 МЕ  анти-Ха/мл шприц 0,4мл блістер №10, цефтріаксон пор. д/ін 1000 мг №10 )</t>
  </si>
  <si>
    <t>Код ДК 021:2015-33600000-6 Фармацевтична продукція (азитроміцин ліофіл. пор. д/інф. 500 мг, аспакркам р-н д/ін. амп. 5 мл №10, ванкоміцин ліоф. фл. 1000 мг №1, гепацеф ліоф., комбі пор. д/ін. 2000 мг фл. №1, дімедрол р-н д/ін 10 мг/мл амп. 1 мл №10, кокарбоксилаза г/х ліоф. д/р-ра д/ін. 5 мг фл. №10 р-ль 2мл амп. №10, лефлок р-н д/інф. 500 мг/100мл, метилпреднізолон табл. 4 мг №30,придоксин р-н д/ін. 50 мг амп. 1 мл №10, рибоксин р-н д/ін. 2% амп. 5мл №10, сульфокамфокаїн р-н д/ін 100 мг/мл амп. 2мл №10, супрастин р-н 20мг амп. 1 мл №5, тіаміну хлорид р-н д/ін 5% амп. 1 мл. №10, тіотриазолін р-н д/ін 2,5% амп. 2мл №10, фромілід табл. в/о 500 мг №14,солу медрол ліофіл. пор. д/ін 125 мг з розч. №1)</t>
  </si>
  <si>
    <t>Код ДК 021:2015-33600000-6 Фармацевтична продукція (азитроміцин ліофіл. пор., аспаркам р-н, гепацеф комбі пор., лефлок р-н, метилпреднізолон табл.,мурашиний спирт, муцитус капс. 150 мг, натрію хлорид р-н, новокаїн р-н, придоксин р-н, рибоксин р-н, супрастин р-н, тіаміну хлорид р-н, тіотриазолін р-н, фролфмфд табл., перекись водню р-н, йод р-н, 5%, борна кислота р-р 2%)</t>
  </si>
  <si>
    <t>Код ДК 021:2015-33600000-6 Фармацевтична продукція (алмірал р-н д/ін, аспаркам р-н д/ін, ванкоміцин ліоф. фл., рибоксин р-н д/ін 2%, сульфокамфокаїн р-н д/ін, тазпен пор. д/інф, тіотриазолін р-н д/ін 2,5%)</t>
  </si>
  <si>
    <t>Код ДК 021:2015-33600000-6 Фармацевтична продукція (амоксиклав пор. д/ін фл. 1,2г №5, дексаметазон р-н д/ін 4мг/мл амп. 1 мл в пачці №5, кордарон р-н д/ін 150 мг амп. 3 мл №6, європенем пор. д/п ін р-ну 500 мг фл №10, європенем пор. д/п ін р-ну 1 мг фл №10 , метронідазол-Дарниця р-н д/інф 5 мг/мл фл. 100 мл №1, муколван р-н д/ін. 7,5 мг/мл амп 2 мл, в пачці №5, медаксон пор. д/п ін р-ну 1г фл №10, медоклав пор. д/п р-ну д/ін та інф 1000 мг+200мг фл. №10, фуросемід-Дарниця р-н д/ін 10 мг/мл амп 2 мл, контурн, чарунк, уп. пачка №10)</t>
  </si>
  <si>
    <t>Код ДК 021:2015-33600000-6 Фармацевтична продукція (амоксил-К пор. д/ін 1200 мг фл, гемотран р-р д/ін 100 мг/мл амп. 5 мл №5, гепарин р-н д/ін 5 тис МО/мл фл 5 мл №5, дексаметазон р-н д/ін 4 мг амп. 1 мл №10, кордарон р-н д/ін 150 мг амп. 3 мл №6, магнію сульфат р-н д/ін 25% амп. 5мл №10, медаксон пор. д/ін 1000 мг №10, медоклав пор. 1г/0,2г фл №10, меленам пор. д/ін 1000 мг фл №1, метронідазол р-н інф 500 мг фл. 100 мл, муколван р-р д/ін 0,75% амп. 2 мл №5, фуросемід р-н д/ін 1% амп.2 мл №10, фленокс р-н д/ін 10000 МЕ анти-Ха/мл шприц 0,4 мл, блістер №10, фленокс р-н д/ін 10000 МЕ анти-Ха/мл шприц 0,8 мл, блістер №2,)</t>
  </si>
  <si>
    <t>Код ДК 021:2015-33600000-6 Фармацевтична продукція (амінокапронова кислота, анальгін, димедрол, гепацеф комбі, цефтазидим, тіотриазолін, тіаміну хлорид (вітамін В), аскорбінова кислота, сульфокамфокаїн-Дарниця, кларитроміцин, спирт мурашиний, дибазол-Дарниця, папаверин, глоду настойка, перекисю водню р-н, йоду спиртовий р-н,новокаїн)</t>
  </si>
  <si>
    <t>Код ДК 021:2015-33600000-6 Фармацевтична продукція (аспаркам р-н д/ін. амп. 5мл. №10, ванкоміцин ліоф. фл. 1000 мг №1, гепацеф комбі пор. д/ін. 200мг фл. №1, дімедрол р-н д/ін 10мг/мл амп. 1 мл №10, кокарбоксилаза г/х ліоф. д/ра д/ін 50мг фл. №10+р-ль 2 мл амп. №10, придоксин р-н д/ін 50 мг амп. 1 мл №10, рибоксин р-н амп. 200 мг 5 мл №10, супрастин р-н 20мг амн. 1 мл №5, тіаміну хлорид р-н д/ін 5% амп. 1 мл №10, тіотриазолін р-н д/ін 2,5% амп. 2 мл №10, солу медрол ліофіл пор. д/ін 125 мг з розч. №1)</t>
  </si>
  <si>
    <t xml:space="preserve">Код ДК 021:2015-33600000-6 Фармацевтична продукція (аспаркам, ванкоміцин, гепацеф, дімедрол, еуфілін, кокарбоксилаза, метилпреднізолон, придоксин, рибоксин, солу медрол. ліофіл., сульфокамфокаїн, супрастин, тіотриазолін)
</t>
  </si>
  <si>
    <t>Код ДК 021:2015-33600000-6 Фармацевтична продукція (блімол р-н д/інф 10 мг/мл 100 мл, гепарин р-н д/ін. 5000 ОД 5 мл №5)</t>
  </si>
  <si>
    <t>Код ДК 021:2015-33600000-6 Фармацевтична продукція (бренем 1000 порошок для ін.)</t>
  </si>
  <si>
    <t xml:space="preserve">Код ДК 021:2015-33600000-6 Фармацевтична продукція (бренем 1000, омепразол 20 Ананта, азитроміцин 500, метронідазол) </t>
  </si>
  <si>
    <t>Код ДК 021:2015-33600000-6 Фармацевтична продукція (бренем 1000, омепразол 20 ананта, азитроміцин 500, метронідазол)</t>
  </si>
  <si>
    <t>Код ДК 021:2015-33600000-6 Фармацевтична продукція (біосепт р-н д/зовн заст. 70% 100 мл)</t>
  </si>
  <si>
    <t>Код ДК 021:2015-33600000-6 Фармацевтична продукція (гемотран р-н д/ін. 100 мг/мл, амп. 5 мл. №5, дексаметазон р-н д/ін 4 мг, амп. 1 мл №10, мепенам пор. д/ін 1000 мг фл.№1, моксимак р-н д/ін 400мг/250 мл конт, 250 мл, муколван р-н д/ін 0,75% амп. 2 мл №5, натрія аденозитрифосфат р-н д/ін. 10 мг/мл амп.1 мл №10, сельтавір капс. тв.75 мг №10 (10*1) блист, цефтріаксон пор. д/ін 1000 мг №10, азимед табл.в/о 500 мг №3  )</t>
  </si>
  <si>
    <t>Код ДК 021:2015-33600000-6 Фармацевтична продукція (гепарин р-н д/ін. 5000 ОД 5 мл №5, дексаметазон-Дарниця р-н д/ін 0,4% 1 мл №5, спирт етиловий 96% 100 мл, хлоргексидин р-н 0,05% 100 мл)</t>
  </si>
  <si>
    <t>Код ДК 021:2015-33600000-6 Фармацевтична продукція (гепацеф Комбі пор. д/приг. роз-ну)</t>
  </si>
  <si>
    <t xml:space="preserve">Код ДК 021:2015-33600000-6 Фармацевтична продукція (гепацеф Комбі пор. д/приг. роз-ну) </t>
  </si>
  <si>
    <t xml:space="preserve">Код ДК 021:2015-33600000-6 Фармацевтична продукція (глюкоза розчин для інф. 50 мг/мл по 200 мл, інфулган розчин для інф. 10 мг/мл по 100 мл, натрію хлорид розчин для інф. 9 мг/мл по 100 мл, натрію хлорид розчин для інф. 9 мг/мл по 200 мл, розчин Рінгера-лактатний розчин для інф. по 200 мл, розчин Рінгера розчин для інф. по 200 мл )
</t>
  </si>
  <si>
    <t>Код ДК 021:2015-33600000-6 Фармацевтична продукція (дексаметазон р-н д/ін 4 мг/мл амп.1 мл, в пачці №5, муколван р-н д/ін 7,5 мг/мл амп.2 мл, в пачці №5, фуросемід-Дарниця р-н д/ін 10 мг/мл амп.2 мл, контурн, чарунк. уп., пачка №10, меропенем віста пор. д/р-ну д/ін 1000 мг фл. №10, кордарон р-н д/ін 150 мг амп.3 мл, №6, магнію сульфат-Дарниця р-н д/ін 250 мг/мл амп 5 мл, контурн. чарунк. уп. №10, медаксон пор. д/п ін р-ну 1г фл.№10, медоклав пор. д/п р-ну д/ін та інф 1000 мг+200 мг фл. №10, флуканазол р-н д/інф. 0,2% пляшка 100 мл №1, блімол р-н д/інф. 10 мг/мл фл. 100 мл №10)</t>
  </si>
  <si>
    <t xml:space="preserve">Код ДК 021:2015-33600000-6 Фармацевтична продукція (демопенем пор. д/п р-нк 1000 мг №1, європенем пор. д/ін. 500 мг №10, клексан р-н д/ін 4000 МО шприц 0,4 мл №10, клексан р-н д/ін 8000 МО шприц 0,8 мл №2)
</t>
  </si>
  <si>
    <t>Код ДК 021:2015-33600000-6 Фармацевтична продукція (дітілін 2% 5 амп №10)</t>
  </si>
  <si>
    <t xml:space="preserve">Код ДК 021:2015-33600000-6 Фармацевтична продукція (дітілін 2% 5 амп №10)
</t>
  </si>
  <si>
    <t>Код ДК 021:2015-33600000-6 Фармацевтична продукція (кетамін 5% амп 2 мл №10)</t>
  </si>
  <si>
    <t>Код ДК 021:2015-33600000-6 Фармацевтична продукція (клексан р-н д/ін)</t>
  </si>
  <si>
    <t xml:space="preserve">Код ДК 021:2015-33600000-6 Фармацевтична продукція (клексан р-н д/ін)
</t>
  </si>
  <si>
    <t>Код ДК 021:2015-33600000-6 Фармацевтична продукція (код ДК 021:2015 – 33600000-6 Фармацевтична продукція (Lysine, Diclofenac, Aminocaproic acid, Metamizole sodium, Ascorbic acid (vit C), Magnesium (different salts in combination), Hexamethonium bromide, Bisoprolol, Vancomycin, Verapamil, Cefoperazone, Bendazol, Diphenhydramine, Drotaverine, Etamsylate, Theophylline, Formic acid, Nicotinic acid, Platyphylline, Inosine, Sulfocamphocain, Torasemide, Nifedipine, Atracurium)</t>
  </si>
  <si>
    <t>Код ДК 021:2015-33600000-6 Фармацевтична продукція (лазолекс, р-н для ін'єкцій 7,5 мг/мл, 2 мл №5)</t>
  </si>
  <si>
    <t>Код ДК 021:2015-33600000-6 Фармацевтична продукція (лазолекс, розчин д/ін. 7,5 мг/мл №5)</t>
  </si>
  <si>
    <t>Код ДК 021:2015-33600000-6 Фармацевтична продукція (лаксерс пор.для розчину для ін'єкцій по 1000 мг/1000мг,1 флакон з порошком у пачці, інфулган розчин для інфузій 10мг/мл, по 100 мл в пляшці, по 1 пл. в пачці з картону, натрію хлорид розчин для інфузій, 9 мг/мл, по 200 мл у пляшках, розчин рінгер-лактатний розчин для інфузій, по 200 мл у пляшках, розчин Рінгера, розчин для інфузій, по 200 мл у пляшках)</t>
  </si>
  <si>
    <t>Код ДК 021:2015-33600000-6 Фармацевтична продукція (левофлоксацин євро, ванкоміцин-вокате, цефепім ананта, бупівакаїн)</t>
  </si>
  <si>
    <t>Код ДК 021:2015-33600000-6 Фармацевтична продукція (лефлок розчин д/інф 500мг/мл 100 мл №1)</t>
  </si>
  <si>
    <t xml:space="preserve">Код ДК 021:2015-33600000-6 Фармацевтична продукція (лефлок розчин д/інф 500мг/мл 100 мл №1)
</t>
  </si>
  <si>
    <t>Код ДК 021:2015-33600000-6 Фармацевтична продукція (лінесса р-н для інф)</t>
  </si>
  <si>
    <t>Код ДК 021:2015-33600000-6 Фармацевтична продукція (меропенем порошок д/п ін р-ну 1г №10, фармасулін Н р-н д/ін. 100МО/мл 10 мл №1)</t>
  </si>
  <si>
    <t>Код ДК 021:2015-33600000-6 Фармацевтична продукція (метоклопрамід-Д 0,5% 20мл, хлоргексидин р-н 0,05% 200мл, фармасулін Н р-н д/ін 100 МО/мл фл. 10мл №1)</t>
  </si>
  <si>
    <t>Код ДК 021:2015-33600000-6 Фармацевтична продукція (моксимак р-н, флуконазол 0,2%, бліцеф, блімол р-н, амоксил-К, дексаметазон)</t>
  </si>
  <si>
    <t>Код ДК 021:2015-33600000-6 Фармацевтична продукція (морфін г/хл 1% 1,0, фентаніл 0,005% 2,0)</t>
  </si>
  <si>
    <t>Код ДК 021:2015-33600000-6 Фармацевтична продукція (муколван 0,75%)</t>
  </si>
  <si>
    <t>Код ДК 021:2015-33600000-6 Фармацевтична продукція (муколван 0,75%, дексаметазон)</t>
  </si>
  <si>
    <t>Код ДК 021:2015-33600000-6 Фармацевтична продукція (натрію хлорид р-н 0,9%, меропенем 1г пор. д/п ін розчину №1, медоклав пор. д/розч. д/ін фл 1,2 г №10, медаксон 1г №10 фл, лазолван 15 мг 2 мл №10 амп., клексан 8000 МЩ шприц 0,8 мл. №2, клексан 4000 МЩ шприц 0,4 мл. №10, клексан розчин д/ін 8000 анти-Ха МО/0,8 мл, шприц-доза №2,європенем порошок д/ін 500 мг №10, гепарин розчин д/ін 5000 МО/мл 5 мл №5, бліцеф порошок д/інф 1г №10)</t>
  </si>
  <si>
    <t>Код ДК 021:2015-33600000-6 Фармацевтична продукція (натрію хлорид р-н д/інф. 0,9% 200 мл, Левопро р-н д/інф. 500 мг 150 мл №1, Левопро р-н д/інф. 500 мг 100 мл №1)</t>
  </si>
  <si>
    <t xml:space="preserve">Код ДК 021:2015-33600000-6 Фармацевтична продукція (натрію хлорид р-н д/інф. 0,9% 200 мл., натрію хлорид р-н д/інф. 0,9% 100 мл, медоклав пор. д/р-ну д/ін фл 1,2г №10, дексаметазон-Дарниця р-н д/ін 4 мг/1мл №10, амоксил-К пор. д/п ін. р-ну 1,2г №1)
</t>
  </si>
  <si>
    <t>Код ДК 021:2015-33600000-6 Фармацевтична продукція (пангастро фл. 40 мг, пангастро  табл. 40 мг, азитроміцин-Фармекс пор. д/інф. 500 мг)</t>
  </si>
  <si>
    <t>Код ДК 021:2015-33600000-6 Фармацевтична продукція (персен-форте, Solgar Ресвератрол капс.)</t>
  </si>
  <si>
    <t>Код ДК 021:2015-33600000-6 Фармацевтична продукція (реосорбілакт р-н, ксарелто табл.)</t>
  </si>
  <si>
    <t>Код ДК 021:2015-33600000-6 Фармацевтична продукція (реосорбілакт розчин для інфузій ро 200мл)</t>
  </si>
  <si>
    <t xml:space="preserve">Код ДК 021:2015-33600000-6 Фармацевтична продукція (спирт етиловий 96%, спирт етиловий 70%, бетадине р-н 10%)
</t>
  </si>
  <si>
    <t>Код ДК 021:2015-33600000-6 Фармацевтична продукція (спирт етиловий р-н 96%, септил р-н 70%, метоклопрамід-Д р-н д/ін 0,5%, магнію сульфат р-н д/ін 25%, кальцію глюконат-Дарниця р-н д/ін 10%)</t>
  </si>
  <si>
    <t xml:space="preserve">Код ДК 021:2015-33600000-6 Фармацевтична продукція (спирт етиловий, плаквеніл, лінезолідін р-н, доксициклін)
</t>
  </si>
  <si>
    <t>Код ДК 021:2015-33600000-6 Фармацевтична продукція (тіопентал ліоф, д/розчину д/ін)</t>
  </si>
  <si>
    <t>Код ДК 021:2015-33600000-6 Фармацевтична продукція (фармасулін Н р-н д/ін, 100 МО/мл 5 мл №1, фармасулін Н р-н д/ін, 100 МО/мл 10 мл №1, дексаметазон - Дарниця р-н д/ін 4 мг/мл 1 мл №10, дексаметазон - Дарниця р-н д/ін 0,4 % мл №5)</t>
  </si>
  <si>
    <t>Код ДК 021:2015-33600000-6 Фармацевтична продукція (фленокс р-н д/ін 10000 МЕ анти-Ха/мл шприц 0,4мл, блістер №10, фленокс р-н д/ін 10000 МЕ анти-Ха/мл шприц 0,8мл, блістер №2)</t>
  </si>
  <si>
    <t>Код ДК 021:2015-33600000-6 Фармацевтична продукція (фленокс р-н д/ін. 10000 МЕ анти-Ха/мл шприц 0,4мл, блістер №10, фленокс р-н д/ін. 10000 МЕ анти-Ха/мл шприц 0,8мл, блістер №2)</t>
  </si>
  <si>
    <t>Код ДК 021:2015-33600000-6 Фармацевтична продукція (флуконазол 0,2%, сода-буфер р-н д/ін, парацетамол-Дарниця, парацетамол Євро р-н д/інф., парацетамол Б. Браун, муколван 0,75%, метоклопрамід-Д 0,5%, магнію сульфат 25%, клексан, європенем, гепарин, блімол, амоксиклав)</t>
  </si>
  <si>
    <t>Код ДК 021:2015-33600000-6 Фармацевтична продукція (флуконазол 0,2%, фармасулін Н р-н д/ін 100 мо/мл,, рінгера р-н 200мл, омепразол-Тева капс 20 мг, омез пор. 40 мг, натрію хлорид р-н 0,9%, метронідазол р-н д/інф. 5 мг/мл, метресса р-н д/ін. 500мг/100мл, метоклопрамід-Д 0,5% 2 мл., меропенем 1г пор. д/ін, клексан 8000МО шприц 0,8мл, клексан 8000МО шприц 0,4мл, кваметел 20мг 5 мл амп/з розчин., європенем пор. д/п ін 1г, дексаметазон-Дарниця 4мг/мл 1мл, азитроміцин)</t>
  </si>
  <si>
    <t>Код ДК 021:2015-33600000-6 Фармацевтична продукція (фромілід-Уно, тіаміну хлорид 5%, рибоксин 2%, піридоксину г/х 5%, папаверин р-н, пангастро, ніфуроксазид, натрію хлорид 0,9%, муцитус, мурашиний спирт, корвалол, кокарбоксилаза, єврозидим порошок для інгаляцій, еуфілін, етамзилат 12,5%, димедрол 1%, диклофенак натрію 2,5%, дигоксин 0,025%, дибазол 1%,, гідазепам, гепацеф Комбі, вугілля активоване, вікасол-Д, верапаміну г/х 0,25%, бензогексоній 2,5%, аскорбінова кис-та 10%, анальгій р-н д/ін 50%, амінокапронова кис-та 5%, L-лізину есцинат 0,1%)</t>
  </si>
  <si>
    <t>Код ДК 021:2015-33600000-6 Фармацевтична продукція (фромілід-Уно, фервекс, солерон-100, сальброксол, рибоксин, папаверин, новокаїн 0,5%, німесил, муцитус, лозап плюс, лінекс, лізомак, левофлоксацин, ентерол, гідрокортизон-пос очна мазь, аскорбвнова кис-та 5%, анальгін,  азитроміцин)</t>
  </si>
  <si>
    <t>Код ДК 021:2015-33600000-6 Фармацевтична продукція (фромілід-Уно, флюанксол, сульфокамфокаїн 10%, перекись водню 3%,папаверин р-н д/іфн, муцитус капс 300мг, лефлок р-н, йод -Вішра р-н спирт 5%, золофт 50мг, діамант. зелен. р-н спирт 1%, дибазол 1%, гідазепам ІС, аскорбінова кис-та 5%, аміаку р-н 10%, азитроміцин пор д/інф.)</t>
  </si>
  <si>
    <t>Код ДК 021:2015-33600000-6 Фармацевтична продукція (фуросемід 1%, флуконазол 0,2%, парацетамол 500мг, парацетамол Б Браун 10 мг/мл, омепразол лиоф., муколван 0,75%, лідокаїн 2%, амоксиклав)</t>
  </si>
  <si>
    <t>Код ДК 021:2015-33600000-6 Фармацевтична продукція (фуросемід р-н д/ін 1% 2 мл №10, спирт етиловий р-н 96% 100 мл, спирт етиловий р-н 70% 100 мл, муколван р-н д/ін 0,75% 2мл №5, метронідазол р-н д/інф. 0,5% 100мл, медаксон пор. 1г №10, магнію сульфат р-н д/ін 25% 5 мл №10, кордарон р-н д/ін 3 мл №6, клексан р-н д/ін 8000 МО шприц 0,8 мл №2, гепарин р-н д/ін 5000 ОД 5 мл №5, блімол р-н д/інф. 10мг/мл 100 мл )</t>
  </si>
  <si>
    <t>Код ДК 021:2015-33600000-6 Фармацевтична продукція (фуросемід р-н д/ін 1% 2 мл №10, фармасулін Н р-н д/ін 100МО/мл 10 мл №1, спирт етиловий р-н 96% 100 мл, спирт етиловий р-н 70% 100 мл, муколван р-н д/ін 0,75% 2 мл №5, моксимак р-н д/інф. 400 мл/250 мл, метронідазол р-н д/інф. 0,5% 100 мл, меропенем пор. д/п ін. р-ну 1г №1, медоклав пор.д/п ін. р-ну фл. 1,2 г №10, медаксон пор. 1г №10, магнію сульфат р-н д/ін. 25% 5 мл №10, демопенем пор. д/п ін. р-ну 1000 мг №1, дексаметазон-Дарниця р-н д/ін1. 4 мг/мл №10, дексаметазон-Дарниця р-н д/ін0,4% 1мл №5, гепарин р-н д/ін. 5000 ОД 5 мл №5, блімол р-н д/інф 10мг/мл 100 мл, арікстра р-н д/ін 7,5 мг/0,6 мл №10, амоксил-К пор. д/п ін. р-ну 1,2г №1, меленам пор. д/п р-ну д/ін. 1г №1 )</t>
  </si>
  <si>
    <t>Код ДК 021:2015-33600000-6 Фармацевтична продукція (фуросемід р-н д/ін 1%, фармасулін Н р-н д/ін 100МО/мл, спирт етиловий р-н 96%, муколван р-н д/ін 0,75%, меропенем пор. д/п ін. р-ну 1г, медаксон пор. 1г, магнію сульфат р-н д/ін 25%, лінезолідін 2мг/мл р-н д/інф, клексан р-н д/ін 8000 МО шприц 0,8 мл, клексан р-н д/ін 4000 МО шприц 0,4 мл, європенем пор. д/ін 500 мг, демопенем пор. д/п ін р-ну 1000 мг, дексаметазон-Дарниця р-н д/ін 4мг/1мл, блімол р-н д/інф 10мг/мл, амоксиклав пор. д/п р-ну 1200мг, )</t>
  </si>
  <si>
    <t xml:space="preserve">Код ДК 021:2015-33600000-6 Фармацевтична продукція (цефтріаксон пор. д/ін, дексаметазон р-н д/ін, фленокс р-н д/ін, медоклав, медаксон пор. д/ін, медопенем пор. д/ін, лінезолід інф, онтазен-1000 пор. д/ін, моксимак р-н д/інф, флукап)
</t>
  </si>
  <si>
    <t>Код ДК 021:2015-33600000-6 Фармацевтична продукція (цефтріаксон, дексаметазон, меленам, азимед, фленокс, тіаміну хлорид, муколван, сельтавір, моксимак, медопенем, медоклав, медаксон, натрія аденозитрифосфат, гемотран)</t>
  </si>
  <si>
    <t>Код ДК 021:2015-33600000-6 Фармацевтична продукція (цибор р-н д/ін, глутаргін р-н д/ін, ацелізин пор.д/п р-ну, актовегін р-н д/ін)</t>
  </si>
  <si>
    <t>Код ДК 021:2015-33600000-6 Фармацевтична продукція (європенем пор. д/ін 500 мг №10, клексан р-н д/ін 8000 МО шприц 0,8мл №2)</t>
  </si>
  <si>
    <t>Код ДК 021:2015-33600000-6 Фармацевтична продукція (європенем пор. д/ін. 500 мг №10, дексаметазон-Дарниця р-н д/ін 0,4% 1 мл №5, дексаметазон-Дарниця р-н д/ін. 4 мг/мл 1 мл №10)</t>
  </si>
  <si>
    <t>Код ДК 021:2015-33600000-6 Фармацевтична продукція (європенем пор. д/ін. 500мг №10)</t>
  </si>
  <si>
    <t>Код ДК 021:2015-33600000-6 Фармацевтична продукція (європенем, пор. д/ін. 1г №10)</t>
  </si>
  <si>
    <t>Код ДК 021:2015-33600000-6 Фармацевтична продукція (інфулган розчин для інфузій 10 мг/мл по 100 мл, натрію хлорид розчин для інфузій 9 мг/мл по 100 мл, натрію хлорид розчин для інфузій 9 мг/мл по 200 мл, розчин Рінгера лактатний розчин для інфузій по 200 мл, розчин Рінгера розчин для інфузій по 200 мл)</t>
  </si>
  <si>
    <t>Код ДК 021:2015-33690000-3 Лікарські засоби різні (CHIRAVAC голка для вакуумного забору крові 0,8*38 мм (21G*1 1/2))</t>
  </si>
  <si>
    <t>Код ДК 021:2015-33690000-3 Лікарські засоби різні (Neo Diluent C ( ізотонічний розчин Нео Ділюент С 20 L, Neo Detergent C (миючий розчин Нео Детергент С 20 L, Neo Lyse C (лізуючий розчин Нео Лайз С 1L), контрольний матеріал D-Check D 2.5 N 2.5ml/D-Чек D 2.5 N Check 2.5 ml)</t>
  </si>
  <si>
    <t>Код ДК 021:2015-33690000-3 Лікарські засоби різні (реагент  Bio-Ksel System PT plus 5*8 ml/Біо- Ксель плюс протромбіновий  час, реагент  Bio-Ksel System APTT 5*9 ml/Активований частковий тромбопластиновий час, Albumin, креатинін, пробірка ЕДТА)</t>
  </si>
  <si>
    <t>Код ДК 021:2015-33690000-3 Лікарські засоби різні (реагент Bio-Ksel System PT plus 5*8 ml/Біо- Ксель плюс протромбіновий час, реагент Bio-Ksel System APTT 5*9 ml/Активований частковий тромбопластиновий час, Albumin, креатинін, пробірка ЕДТА)</t>
  </si>
  <si>
    <t>Код ДК 021:2015-33690000-3 Лікарські засоби різні (смужки діагностичні до аналізатора сечі Lab Analyt-50, 11 G, №100/упак, контрольний матеріал СВС-3D, 2.0 мл, N)</t>
  </si>
  <si>
    <t>Код ДК 021:2015-33690000-3 Лікарські засоби різні (тест-смужки Rightest Elsa 50 шт, тест-смужки Rightest Elsa 25 шт)</t>
  </si>
  <si>
    <t>Код ДК 021:2015-33692000-7 Медичні розчини (Біблок розчин для ін'єкцій)</t>
  </si>
  <si>
    <t>Код ДК 021:2015-33692000-7 Медичні розчини (альбумін розчин для інф. 20% пляш. 100 мл)</t>
  </si>
  <si>
    <t>Код ДК 021:2015-33692000-7 Медичні розчини (глюкоза р-н для інф 50мг/мл по 200мл, інфулган р-н дляінф 10 мг/мл по 100мл, натрію хлорид  р-н для інф 9 мг/мл по 200 мл, розчин Рінгер-лактатний р-н для інф по 200 мл, сангера р-н для ін'єкцій 100 мг/мл по 5 мл в ампулі №5)</t>
  </si>
  <si>
    <t>Код ДК 021:2015-33692000-7 Медичні розчини (глюкоза розчин для інфузій, 50мг/мл,  інфулган розчин для інфузій, 100мг/мл, натрію хлорид розчин для інфузій, 9мг/мл, розчин Рінгер-Лактатний розчин для інфузій, розчин Рінгера розчин для інфузій)</t>
  </si>
  <si>
    <t>Код ДК 021:2015-33692000-7 Медичні розчини (глюкоза, інфулган, натрію хлорид, розчин Рінгер-лактатний, сангера)</t>
  </si>
  <si>
    <t>Код ДК 021:2015-33692000-7 Медичні розчини (левофлоксацин р-н і/інф.)</t>
  </si>
  <si>
    <t>Код ДК 021:2015-33692000-7 Медичні розчини (лефлоцин р-н для інфузій)</t>
  </si>
  <si>
    <t>Код ДК 021:2015-33692000-7 Медичні розчини (реосорбілакт р-н д/інф.)</t>
  </si>
  <si>
    <t>Код ДК 021:2015-33692000-7 Медичні розчини (тавегіл р-н д/ін., супрастин р-н д/ін., рибоксин р-н д/ін., платифілін р-н д/ін., Но-шпа р-н д/ін., кофеїн-бензоат натрію р-н д/ін., еуфілін р-н д/ін., аспаркам р-н д/ін.)</t>
  </si>
  <si>
    <t>Код ДК 021:2015-33692000-7 Медичні розчини (фленокс р-н д/ін 10000 МЕ анти-Ха/мл шприц 0,4 мл, блістер №10, фленокс р-н д/ін 10000 МЕ анти-Ха/мл шприц 0,8 мл, блістер №2 )</t>
  </si>
  <si>
    <t>Код ДК 021:2015-33696000-5 Реактиви та контрастні речовини  (Bilirubin Total (B) (*білірубін загальний (В) R1:4*40 мл R2:4*10 мл), ALT/GPT-SL (аланінамінотрансфераза (АЛТ)/ГПТ-СР R1:1*200 мл R2:1*50 мл), AST/GOT-SL (аспартатамінотрансфераза (АСТ)/ГОТ-СР R1:1*200 мл R2:1*50 мл), Alpha Amilase SL (альфа-амілаза SL R1:10*10 мл), Albumin (альбумін R1: 2*100 мл), Glucose SL (глюкоза СР R1:1*250 мл, креатинін 30, реагент Біо-ксель Контроль норма системи 10*1 мл)</t>
  </si>
  <si>
    <t>Код ДК 021:2015-33696000-5 Реактиви та контрастні речовини (Bilirubin Total (B) (*білірубін загальний (В) R1:4*40 мл R2:4*10 мл), ALT/GPT-SL (аланінамінотрансфераза (АЛТ)/ГПТ-СР R1:1*200 мл R2:1*50 мл), AST/GOT-SL (аспартатамінотрансфераза (АСТ)/ГОТ-СР R1:1*200 мл R2:1*50 мл), Alpha Amilase SL (альфа-амілаза SL R1:10*10 мл), Albumin (альбумін R1: 2*100 мл), Glucose SL (глюкоза СР R1:1*250 мл), креатинін 30, реагент Біо-ксель Контроль норма системи 10*1 мл)</t>
  </si>
  <si>
    <t>Код ДК 021:2015-33696000-5 Реактиви та контрастні речовини (Neo Diluent C ( ізотонічний розчин Нео Ділюент С 20 L), Neo Detergent C (миючий розчин Нео Детергент С 20 L), Neo Lyse C (лізуючий розчин Нео Лайз С 1L))</t>
  </si>
  <si>
    <t>Код ДК 021:2015-33696000-5 Реактиви та контрастні речовини (Neo Lyse C (лізуючий рзчин Нео Лайз С 1L), ALT/GPT-SL (аланінамінотрансфераза (АЛТ)/ГПТ-СР R1:1*200 мл R2:1*50 мл), AST/GOT-SL (аспартатамінотрансфераза (АСТ)/ГОТ-СР R1:1*200 мл R2:1*50 мл), Alpha Amilase SL (альфа-амілаза SL R1:10*10 мл), Urea UV SL (сечовина УФ СР R1:1*200 мл R2:1*50 мл), Albumin (альбумін R1: 2*50 мл), Glucose SL (глюкоза СР R1:1*500 мл))</t>
  </si>
  <si>
    <t>Код ДК 021:2015-33696000-5 Реактиви та контрастні речовини (Код НК 024-2019-47343- D-димер IVD, набір, імунохроматографічний тест (ІХТ), експрес-тест, Код НК 024-2019-54316-Прокальцитонін IVD, реагент (реагенти (набори реагентів) для визначення рівня прокальцитоніну, реагенти (набори реагентів) для визначення рівня Д-димеру, реагенти (набори реагентів) для визначення рівня Д-димеру (контроль))</t>
  </si>
  <si>
    <t>Код ДК 021:2015-33696000-5 Реактиви та контрастні речовини (аміак 25% чда, агар Мюлера-Хінтона II (Muler Hinton Agar 500G) Biolife, агар поживний (Nutrient Agаr) Biolife 500G, агар Сабуоро з декстрозою, (Sabouraund Dextrose аgar) Biolife 500G, пептон ферментативний,  поживний бульойн, ністатін (100 од), диски з клотримазолом (10 мкг) №100, диски з норфлоксацином (10 мкг) №100, диски з ципрофлоксаціном (№100)(5 мкг), диски з левофлоксацином  (5 мкг)№100, диски з гентаміцином (30 мкг) №100, диски з цефотаксімом (30 мкг)№100, диски з кліндаміціном (2мкг) №100, диски з оксациліном (1 мкг) №100, диски з меропенемом (100мкг) (Аспект), диски з ванкоміцином (30мкг) №100, диски з бензилпеніциліном G(10 од.) №100, диски з тетрацикліном (30 мкг) №100, бацитрацин, диски з оптохіном №50, "Телурид калію"-набір для використання р-ну телуриту калі, як допоміжного реактиву в якості інгібітору 10 амп. х5млм, Філіст)</t>
  </si>
  <si>
    <t>Код ДК 021:2015-33696000-5 Реактиви та контрастні речовини (реагент Bio-Ksel System PT plus 5*8 ml, test cuvents Chrom (набір 500 шт))</t>
  </si>
  <si>
    <t>Код ДК 021:2015-33700000-7 Засоби особистої гігієни (підгузники для дорослих  Teta Pants Normal Medium №30, підгузники для дорослих  Teta Pants Normal Large №30 (дихаючі), підгузники для дорослих  Super Seni Normal Medium/середні №30,для дорослих  Super Seni Large №30)</t>
  </si>
  <si>
    <t>Код ДК 021:2015-33711000-7 Парфуми та засоби гігієни (мило Джонсон 125, мило господарське 72% Щедро 200 г, рідке мило Домінік 5л, мило Пуся 1л)</t>
  </si>
  <si>
    <t>Код ДК 021:2015-33711000-7 Парфуми та засоби гігієни (мило рідке 5л)</t>
  </si>
  <si>
    <t>Код ДК 021:2015-33711000-7 Парфуми та засоби гігієни (мило рідке)</t>
  </si>
  <si>
    <t>Код ДК 021:2015-33711900-6 Мило (мило рідке з антибактеріальною дією "Професійне" 5кг)</t>
  </si>
  <si>
    <t>Код ДК 021:2015-33750000-2 Засоби для догляду за малюками (пелюшки для немовлят Тена Бед Плюс 60*60 №35, пелюшки гігієнічні  ID Protect Plus 60*90 №30)</t>
  </si>
  <si>
    <t>Код ДК 021:2015-33760000-5 Туалетний папір, носові хустинки, рушники для рук і серветки</t>
  </si>
  <si>
    <t xml:space="preserve">Код ДК 021:2015-33760000-5 Туалетний папір, носові хустинки, рушники для рук і серветки </t>
  </si>
  <si>
    <t>Код ДК 021:2015-33760000-5 Туалетний папір, носові хустинки, рушники для рук і серветки (зетка біла, папір туалетний Кохавинка, рушники паперові Диво, рушники зетка)</t>
  </si>
  <si>
    <t>Код ДК 021:2015-33760000-5 Туалетний папір, носові хустинки, рушники для рук і серветки (папір туалетний, рушник Зетка)</t>
  </si>
  <si>
    <t>Код ДК 021:2015-33760000-5 Туалетний папір, носові хустинки, рушники для рук і серветки (рушники паперові Зетка, серветки Бонус, туалетний папір Кохавинка, серветки універсальні 3шт ЧЧ)</t>
  </si>
  <si>
    <t>Код ДК 021:2015-33760000-5 Туалетний папір, носові хустинки, рушники для рук і серветки (туалетний папір, рушники паперові, рушник зетка)</t>
  </si>
  <si>
    <t>Код ДК 021:2015-33972000-4 Мішки для моргів (мішок пластиковий санітарний "МПС-200/5")</t>
  </si>
  <si>
    <t>Код ДК 021:2015-33972000-4 Мішки для моргів (мішок пластиковий санітарний "МПС-2005")</t>
  </si>
  <si>
    <t>Код ДК 021:2015-34910000-9 Гужові чи ручні вози, інші транспортні засоби з немеханічним приводом, багажні вози та різні запасні частини (візок для перевезення кисневого балону)</t>
  </si>
  <si>
    <t>Код ДК 021:2015-35110000-8 Протипожежне, рятувальне та захисне обладнання (півмаска фільтрувальна БУК-КЗ FFP3 NR)</t>
  </si>
  <si>
    <t>Код ДК 021:2015-35113400-3 Захисний одяг (комплект ізоляційний одноразовий)</t>
  </si>
  <si>
    <t>Код ДК 021:2015-35113400-3 Захисний одяг (халат ізоляційний медичний одноразовий(30г/м2) XL, L)</t>
  </si>
  <si>
    <t>Код ДК 021:2015-35113400-3 Захисний одяг (халат ізоляційний медичний одноразовий)</t>
  </si>
  <si>
    <t>Код ДК 021:2015-35820000-8 Допоміжне екіпірування (прапор України)</t>
  </si>
  <si>
    <t>Код ДК 021:2015-38420000-5 Прилади для вимірювання витрати, рівня та тиску рідин і газів ( Денситометр DEN-1, по Макфарланду з адаптером А-16, НК 024:2019 : 15129-Денситометр сканування світла )</t>
  </si>
  <si>
    <t>Код ДК 021:2015-38430000-8 Детектори та аналізатори (Neo Diluent C (*ізотонічний розчин Нео Ділюент С 20 L), Neo Delergent C (*миючий розчин Нео Детергент С 20 L), Neo Lyse C (*лізуючий розчин Нео Лайз С1L))</t>
  </si>
  <si>
    <t>Код ДК 021:2015-38430000-8 Детектори та аналізатори (НК 024:2019-56676 - біохімічний  багатоканаловий аналізатор лабораторний IVD, автоматичний; Код ДК 021:2015-38430000-8 Детектори та аналізатори (НК 024:2019-56691- автоматичний аналізатор ШОЕ)</t>
  </si>
  <si>
    <t>Код ДК 021:2015-38430000-8 Детектори та аналізатори (НК 024:2019-56676 - біохімічний багатоканаловий аналізатор лабораторний IVD, автоматичний, НК 024:2019-56691- автоматичний аналізатор ШОЕ)</t>
  </si>
  <si>
    <t>Код ДК 021:2015-38430000-8 Детектори та аналізатори (Напівавтоматичний аналізатор сечі LA-50 з комплектом тест-смужок (код НК 024:2019-35774 - Аналізатор сечі напівавтоматизований), мікроскоп бінокулярний Micro Med Fusion (НК 024:2019-17440-Інвертований світловий мікроскоп))</t>
  </si>
  <si>
    <t>Код ДК 021:2015-38430000-8 Детектори та аналізатори (набір для ІФА DIA-SARS-CoV-2-NP-LgM T1-12 T1-26M01C, 192 (8*12*2),набір для ІФА DIA-SARS-CoV-2-NP-LgG T1-12 T1-26G01C, 192 (8*12))</t>
  </si>
  <si>
    <t>Код ДК 021:2015-38430000-8 Детектори та аналізатори (набір для ІФА DIA-SARS-CoV-2-NP-LgM T1-12 T1-26M01C, 192 (8*12*2),набір для ІФА DIA-SARS-CoV-2-NP-LgG T1-12 T1-26M01C, 192 (8*12))</t>
  </si>
  <si>
    <t>Код ДК 021:2015-38430000-8 Детектори та аналізатори (тест-система імуноферментна для виявлення IgМ до нуклеокапсидного антигену коронавірусу DIA-SARS-CoV-2-NP-IgМ T5-15)</t>
  </si>
  <si>
    <t>Код ДК 021:2015-38430000-8 Детектори та аналізатори (тест-система імуноферментна для виявлення IgМ до нуклеокапсидного антигену короновірусу DIA-SARS-CoV-2-NP-IgМ T5-15)</t>
  </si>
  <si>
    <t>Код ДК 021:2015-38430000-8 Детектори та аналізатори (флуорисцентний імунохроматографічний аналізатор (ІХЛА 1100), код НК 024:2019-36223- Хемілюмінісцентний аналізатор імуноаналізу (CLIA))</t>
  </si>
  <si>
    <t>Код ДК 021:2015-39121000-6 Письмові та інші столи (стіл двотумбовий)</t>
  </si>
  <si>
    <t>Код ДК 021:2015-39121000-6 Письмові та інші столи (стіл однотумбовий "Фантазія", стіл двотумбовий "Фантазія")</t>
  </si>
  <si>
    <t>Код ДК 021:2015-39130000-2 Офісні меблі (стилаж 1,00*1,98*0,6; 1,00*1,98*0,3 в реєстратуру, шафа розпашна 2-ох дверна 1,00*1,98*0,5 в реєстратуру)</t>
  </si>
  <si>
    <t>Код ДК 021:2015-39130000-2 Офісні меблі (шафа купе в неврологічне відділення 2,10*1,85, 2,10*2,60, стінка 2,20*1,90 в лабораторію)</t>
  </si>
  <si>
    <t>Код ДК 021:2015-39130000-2 Офісні меблі (шафа купе в реанімаційне відділення 2,05*1,95)</t>
  </si>
  <si>
    <t>Код ДК 021:2015-39220000-0 Кухонне приладдя, товари для дому та господарства і приладдя для закладів громадського харчування  (Відра пластикові, відро емальоване, каструлі емальовані, таз, рукавиці)</t>
  </si>
  <si>
    <t>Код ДК 021:2015-39220000-0 Кухонне приладдя, товари для дому та господарства і приладдя для закладів громадського харчування  (Відра пластикові, відро емельоване, каструлі емальовані, таз, рукавиці)</t>
  </si>
  <si>
    <t>Код ДК 021:2015-39220000-0 Кухонне приладдя, товари для дому та господарства і приладдя для закладів громадського харчування (Кухоль, м'ясорубка, каструлі, совок, щітка, освіжувач, пакети Супер Люкс, запаска на швабру, мішки 120*25, порошок Каді, порошок Ariel, рушники паперові, рукавиці господарські, рідина для посуду, мило господарське, пакети для сміття, серветки універсальні, серветки віскозні)</t>
  </si>
  <si>
    <t>Код ДК 021:2015-39220000-0 Кухонне приладдя, товари для дому та господарства і приладдя для закладів громадського харчування (Кухоль, м'ясорубка, каструлі, совок, щітка, освіжувач, пакети Супер Люкс, запаска на швабру, мішки 120*25, порошок Каді, порошок Ariel, рушники паперові, рукавиці господарські, рідина для посуду, мило господарське, пакети для сміття, серветки універсальні, серветки віскозні,)</t>
  </si>
  <si>
    <t>Код ДК 021:2015-39220000-0 Кухонне приладдя, товари для дому та господарства і приладдя для закладів громадського харчування (МОП шнурковий, ручка до МОП, відро пластикове 12л, відро пластикове 10л, відро з кришкою, бочка пластикова 50л, бочка пластикова 60л, механізм замка, відро з віджимом)</t>
  </si>
  <si>
    <t>Код ДК 021:2015-39220000-0 Кухонне приладдя, товари для дому та господарства і приладдя для закладів громадського харчування (ванночка для розмочування валика,, пензель, клей, скотч)</t>
  </si>
  <si>
    <t>Код ДК 021:2015-39220000-0 Кухонне приладдя, товари для дому та господарства і приладдя для закладів громадського харчування (відро 476-9, відро для сміття 12л)</t>
  </si>
  <si>
    <t>Код ДК 021:2015-39220000-0 Кухонне приладдя, товари для дому та господарства і приладдя для закладів громадського харчування (відро оцинковане 10л, мітла без ручки поліпропіленова з гвинтовим отвором)</t>
  </si>
  <si>
    <t>Код ДК 021:2015-39220000-0 Кухонне приладдя, товари для дому та господарства і приладдя для закладів громадського харчування (віник "Сарго", таз овал з ручками 40л, рукавиці червоні р 10 3 (118) клас 10, рукавиці чорні р 10 (114) клас 10)</t>
  </si>
  <si>
    <t>Код ДК 021:2015-39220000-0 Кухонне приладдя, товари для дому та господарства і приладдя для закладів громадського харчування (губка, запаска, швабра для мопу)</t>
  </si>
  <si>
    <t>Код ДК 021:2015-39220000-0 Кухонне приладдя, товари для дому та господарства і приладдя для закладів громадського харчування (запаска макарон, щітка утюжок, запаска мікрофібра, змінна насадка 048, насадка для швабри, скребок)</t>
  </si>
  <si>
    <t>Код ДК 021:2015-39220000-0 Кухонне приладдя, товари для дому та господарства і приладдя для закладів громадського харчування (мол запаска на швабру, губка пориста)</t>
  </si>
  <si>
    <t>Код ДК 021:2015-39220000-0 Кухонне приладдя, товари для дому та господарства і приладдя для закладів громадського харчування (ніж для м'яса)</t>
  </si>
  <si>
    <t>Код ДК 021:2015-39220000-0 Кухонне приладдя, товари для дому та господарства і приладдя для закладів громадського харчування (серветки, губка кухонна)</t>
  </si>
  <si>
    <t>Код ДК 021:2015-39220000-0 Кухонне приладдя, товари для дому та господарства і приладдя для закладів громадського харчування (сковорода, сушка для посуду )</t>
  </si>
  <si>
    <t>Код ДК 021:2015-39220000-0 Кухонне приладдя, товари для дому та господарства і приладдя для закладів громадського харчування (сковорода, терка, кастрюля)</t>
  </si>
  <si>
    <t>Код ДК 021:2015-39220000-0 Кухонне приладдя, товари для дому та господарства і приладдя для закладів громадського харчування (совок, щітка, скребок, губка пориста, серветка)</t>
  </si>
  <si>
    <t>Код ДК 021:2015-39220000-0 Кухонне приладдя, товари для дому та господарства і приладдя для закладів громадського харчування (чоботи гумові чоловічі, замок навісний, віник поліпротиленовий, держак до лопати,серцевина до замка, віник "Сарго", запальничка побутова, лопата для снігу, плівка темна 200 мікрон)</t>
  </si>
  <si>
    <t>Код ДК 021:2015-39220000-0 Кухонне приладдя, товари для дому та господарства і приладдя для закладів громадського харчування (швабра телескопічна, губка пориста, запаска на швабру, відро мірне 14л, губки кухонні 5*2 МЖ, скребок металевий Бонус, віник малий, совок+щітка 84065, швабра 0058-0057)</t>
  </si>
  <si>
    <t>Код ДК 021:2015-39221000-7 Кухонне приладдя (терка, ніж, чайник, сковорода блінна, ковш, сито, дошка середня)</t>
  </si>
  <si>
    <t xml:space="preserve">Код ДК 021:2015-39224000-8 Мітли, щітки та інше господарське приладдя </t>
  </si>
  <si>
    <t>Код ДК 021:2015-39330000-4 Дезінфекційне обладнання (дозатор автоматичний для дезінфікуючого засобу F1409-S)</t>
  </si>
  <si>
    <t>Код ДК 021:2015-39330000-4 Дезінфекційне обладнання (ліктєвий дозатор SM2 універсальний для флаконів від 40 мл. до 1000 мл)</t>
  </si>
  <si>
    <t>Код ДК 021:2015-39330000-4 Дезінфекційне обладнання (мобільна стійка кріплення дозатора антисептика для рук)</t>
  </si>
  <si>
    <t>Код ДК 021:2015-39330000-4 Дезінфекційне обладнання (тримач санітайзера Dr. ARMMAX TS 31v WH); Код ДК 021:2015-39330000-4 Дезінфекційне обладнання (тримач санітайзера Dr. ARMMAX TS 31v GR)</t>
  </si>
  <si>
    <t>Код ДК 021:2015-39330000-4 Дезінфекційне обладнання (тримач санітайзера Dr. ARMMAX TS 31v WH, тримач санітайзера Dr. ARMMAX TS 31v GR)</t>
  </si>
  <si>
    <t>Код ДК 021:2015-39340000-7 Обладнання для газових мереж (підігрівач вуглекислотного газу ПЕ-01)</t>
  </si>
  <si>
    <t>Код ДК 021:2015-39340000-7 Обладнання для газових мереж (підігрівач для вуглекислотного газу)</t>
  </si>
  <si>
    <t>Код ДК 021:2015-39340000-7 Обладнання для газових мереж (рампа киснева на 5 балонів)</t>
  </si>
  <si>
    <t>Код ДК 021:2015-39340000-7 Обладнання для газових мереж (рампа киснева на 5 балонів, редуктор БКО-50-4ДМ)</t>
  </si>
  <si>
    <t>Код ДК 021:2015-39340000-7 Обладнання для газових мереж (редуктор кисневий РК-70)</t>
  </si>
  <si>
    <t xml:space="preserve">Код ДК 021:2015-39370000-6 Водопровідне обладнання
</t>
  </si>
  <si>
    <t xml:space="preserve">Код ДК 021:2015-39370000-6 Водопровідне обладнання </t>
  </si>
  <si>
    <t>Код ДК 021:2015-39510000-0 Вироби домашнього текстилю (подушка (холофайдер 60*60 см))</t>
  </si>
  <si>
    <t>Код ДК 021:2015-39510000-0 Вироби домашнього текстилю (постіль одноразова (комплект), наматрацник ламінований (одноразовий))</t>
  </si>
  <si>
    <t>Код ДК 021:2015-39510000-0 Вироби домашнього текстилю (ролокасети відкритого типу)</t>
  </si>
  <si>
    <t xml:space="preserve">Код ДК 021:2015-39514400-2 Диспенсери для рушників </t>
  </si>
  <si>
    <t>Код ДК 021:2015-39515400-9 Жалюзі</t>
  </si>
  <si>
    <t>Код ДК 021:2015-39710000-2 Електричні побутові прилади (електронагрівач проточної води TWH-3G 3 кВт, до +60 град, Grunhelm 64625, теплова гармата керам, нагрів. Denzel 96431, електрочайник ВН 113L)</t>
  </si>
  <si>
    <t>Код ДК 021:2015-39710000-2 Електричні побутові прилади (електронагрівач проточної води TWH-3G, водонагрівач Round 50л, праска Grunhelm EI18871T 1600Bт 81133, холодильник GRW-143DD (білий) двокамерний, верх. мороз, Grunhelm 84071,вентилятор GFS-1611 40Вт, 430*175*430 мм)</t>
  </si>
  <si>
    <t>Код ДК 021:2015-39710000-2 Електричні побутові прилади (електронагрівач проточної води TWN-3G 3 кВт до +60 градусів, GRUNHELM, електрочайник ВН 11 3л, теплова гармата керам, нагрів. DHC 3-150, 230D 0.025/1/1.5/3 кВт,  запальничка побутова п'єзо STELS WB-858 блістер, електрочайник GRUNHELM EKS-2020 (метал) 1,8л 2000Вт, обігрівач електричний GRUNHELM GPH5 R5.0 кВт 380В 388 м3/год 7,8 кг)</t>
  </si>
  <si>
    <t>Код ДК 021:2015-39710000-2 Електричні побутові прилади (обігрівач електричний)</t>
  </si>
  <si>
    <t>Код ДК 021:2015-39710000-2 Електричні побутові прилади (обігрівач масляний GR-0715/1.5КВт, холодильник GRW-143DD (білий) двокамерний, тепловентилятор 2,0 кВт, Graz білий)</t>
  </si>
  <si>
    <t>Код ДК 021:2015-39710000-2 Електричні побутові прилади (сушка, блендер)</t>
  </si>
  <si>
    <t>Код ДК 021:2015-39710000-2 Електричні побутові прилади (холодильник GTF-159 М двокамерний, мороз. 159 см GRUNHELM 89937)</t>
  </si>
  <si>
    <t>Код ДК 021:2015-39830000-9 Продукція для чищення (білизна, дихлофос, порошок, рідина для посуду, рідина для вікон, порошок для чищення, Доместос, освіжувач)</t>
  </si>
  <si>
    <t>Код ДК 021:2015-39830000-9 Продукція для чищення (засіб "Білизна", засіб для миття вікон)</t>
  </si>
  <si>
    <t>Код ДК 021:2015-39830000-9 Продукція для чищення (освіжувач Зефір, порошок Каді 10 кг, бальзам для посуду Гала 500мл, білизна Онікс Калуш 950 г, Гала OV порошок для чищення 500, Доместос 1л,  порошок Каді 3 кг  )</t>
  </si>
  <si>
    <t>Код ДК 021:2015-39830000-9 Продукція для чищення (порошок для прання, бальзам для посуду, білизна, Доместос, освіжувач)</t>
  </si>
  <si>
    <t>Код ДК 021:2015-39830000-9 Продукція для чищення (порошок для прання, засіб для чищення скла, білизна, рідена для миття посуду, рідина для труб, бальзам для посуду, доместос )</t>
  </si>
  <si>
    <t>Код ДК 021:2015-39830000-9 Продукція для чищення (рідина Домінік 5 л, онік турбо 1 л, порошок Адела 1 кг, освіжувач повітря, порошок універсальний Галлус 10 кг, порошок Аріель 4,5 кг, бальзам для посуду Гала 500 мл, білизна Калушанка 900 г, порошок для чищення Гала, засіб для скла Пуся 0,5 л, порошок Лотос 400 г, сода кальцинована 0,7 кг, крот рідкий1 л)</t>
  </si>
  <si>
    <t>Код ДК 021:2015-39830000-9 Продукція для чищення (рідина для миття посуду, рідина для миття вікон, порошок для чищення)</t>
  </si>
  <si>
    <t>Код ДК 021:2015-39831500-1 Засоби для чищення і миття автомобілів (мийка високого тиску, хімія, щітки двірників б/к, масло ТАД-17 1л)</t>
  </si>
  <si>
    <t>Код ДК 021:2015-42131000-6 Крани, вентилі та клапани (вентиль кисневий для рампи ВК-94-01, різьба на вході 1/2 "циліндрична", на виході 3/4 (вик. 0,3), вентиль кисневий ВКМЗ, кутовий, вхід зверху М14*1, вихід зліва G1/4, на виході ніпель та гайка під тр. Ф8*1, комплект кріплення кисневого вентиля ВК-94-01 (вик, 03) до рампи)</t>
  </si>
  <si>
    <t>Код ДК 021:2015-42716000-8 Пральні машини, машини для сухого чищення та сушильні машини (машина пральна Electrolux, машина сушильна Electrolux)</t>
  </si>
  <si>
    <t>Код ДК 021:2015-42931000-1 Центрифуги (Центрифуга лабораторна, настільна Micro Med CM-3M, на 24 пробірки (код НК 024:2019-36465-настільна універсальна центрифуга))</t>
  </si>
  <si>
    <t>Код ДК 021:2015-44110000-4 Конструкційні матеріали (профнастил оцинк. 0,04мм (м.п.), саморіз 4,8*35 оцинкований)</t>
  </si>
  <si>
    <t>Код ДК 021:2015-44110000-4 Конструкційні матеріали (профнастил оцинк. 0,04мм (м.п.); саморіз 4,8*35 оцинкований</t>
  </si>
  <si>
    <t>Код ДК 021:2015-44111000-1 Будівельні матеріали (будівельні, господарські товари та сантехніка)</t>
  </si>
  <si>
    <t>Код ДК 021:2015-44160000-9 Магістралі, трубопроводи, труби, обсадні труби, тюбінги та супутні вироби (еко коліно, еко муфта, шланг до води, труба 110/2,2-1000 мм, 110/2,2-2000 мм, 110/2,2-500 мм)</t>
  </si>
  <si>
    <t>Код ДК 021:2015-44160000-9 Магістралі, трубопроводи, труби, обсадні труби, тюбінги та супутні вироби (еко муфта 20-1/2 МРВ, екр муфта 20-1/2р. зов ППР МРЗ, еко трійник 20-20-20 ПП 10434)</t>
  </si>
  <si>
    <t>Код ДК 021:2015-44160000-9 Магістралі, трубопроводи, труби, обсадні труби, тюбінги та супутні вироби (еко муфта 20-1/2 МРВ, екр муфта 20-1/2р. зов ППР МРЗ, еко трійник 20-20-20 ПП10434)</t>
  </si>
  <si>
    <t>Код ДК 021:2015-44160000-9 Магістралі, трубопроводи, труби, обсадні труби, тюбінги та супутні вироби (редукція резинова 110*124, редукція резинова 50*40, труба 50/1,8-315 мм, труба 50/1,8-500 мм, лат. ніпель, лат. муфта, лат трійник, резинова прокладка, шланг до води, шланг поливочний, резинова прокладка)</t>
  </si>
  <si>
    <t>Код ДК 021:2015-44160000-9 Магістралі, трубопроводи, труби, обсадні труби, тюбінги та супутні вироби (редукція резинова 40*50)</t>
  </si>
  <si>
    <t>Код ДК 021:2015-44160000-9 Магістралі, трубопроводи, труби, обсадні труби, тюбінги та супутні вироби (сифон, гофра, муфта)</t>
  </si>
  <si>
    <t>Код ДК 021:2015-44176000-4 Плівки (плівка 5*10)</t>
  </si>
  <si>
    <t>Код ДК 021:2015-44221000-5 Вікна, двері та супутні вироби (двері вхідні, підвіконник, ручка до вхідних дверей)</t>
  </si>
  <si>
    <t>Код ДК 021:2015-44315200-3 Зварювальні матеріали (зварювальні електроди 3 мм уп. 2,5 кг)</t>
  </si>
  <si>
    <t>Код ДК 021:2015-44320000-9 Кабелі та супутня продукція (кабель АВВГ4*16, труба гофрована, наконечник, труба термоусадочна)</t>
  </si>
  <si>
    <t>Код ДК 021:2015-44320000-9 Кабелі та супутня продукція (провід АППВ (2*2,5), провід ПВС (3*2,5))</t>
  </si>
  <si>
    <t xml:space="preserve">Код ДК 021:2015-44410000-7 Вироби для ванної кімнати та кухні </t>
  </si>
  <si>
    <t>Код ДК 021:2015-44410000-7 Вироби для ванної кімнати та кухні (SD кран шар. 1/2з.в вода SD607W15(5837), американка 1/2 пряма латунь нікель, американка 3/4 пряма латунь SD190W20, бачок пласт. середньорозміщений, еко коліно 20-20 під 45* ППР, еко коліно 20-20% 10417, еко коліно настінне установче 20-1/2 р.в., еко кріплення труби 20 подвійне, еко муфта 20 ППР 10402,еко муфта 20-1/2 р. зов. ППР МРЗ, еко трійник 20-20-20 ППР 10434,змішувач кульовий ніс 25 см, на гайці G-Ferro Mars 555, змішувач ZEGOR для ванни,        змішувач мийка шар. нос-25 см шпилька Ferro 004, лат. ніпель 1/2з (15) усилений L36, лат заглушка 1/2 р.в. (15)46, лат муфта-1/2в-1/2в (34), лат. ніпель редук 1/2з-3/4з 10739, лат. трійник 1/2в-1/2з-1/2в, пакля, сифон універсал. з гнучкою гофрою, шланг для води 0,5м, муфта  з'єднювальна 50, редукція резинова 50*40)</t>
  </si>
  <si>
    <t>Код ДК 021:2015-44410000-7 Вироби для ванної кімнати та кухні (змішувач, сидіння до унітазу, кран 1/2 поливочний, шпилька, бачок пластиковий з двохкнопочною арматурою, душова кабіна, кран шаровий, сифон універсальний, умивальник Cersanit President )</t>
  </si>
  <si>
    <t>Код ДК 021:2015-44410000-7 Вироби для ванної кімнати та кухні (картридж до змішувача, клапан для бойлера, лійка для душу, резиновий шланг газ (білий))</t>
  </si>
  <si>
    <t>Код ДК 021:2015-44410000-7 Вироби для ванної кімнати та кухні (коліно 50*45, сифон, SD FORTE коліно 1/2в*1/2в)</t>
  </si>
  <si>
    <t>Код ДК 021:2015-44410000-7 Вироби для ванної кімнати та кухні (кріплення бачка до унітаза оцинковане 70мм, змішувач Мийка шар. нос-25см шпилька Ferro 004 (46047), сифон універсал з гнучкою гофрою SoloPlast У-0111, кріплення для умивальника до стіни КР 810 8*100 білий (2шт), вантуз великий Евро, душова кабінка 80*80, змішувач Zegor для душ. кабіни (лійка) NHK5-AO48, умивальник Cersanit President 50 см с/о,Н-В Компакт 19 Президент З010 3/6л+сидіння)</t>
  </si>
  <si>
    <t>Код ДК 021:2015-44410000-7 Вироби для ванної кімнати та кухні (монтажна планка для змішувача, шторка з гачками в комплекті для ванної кімнати, сифон універсальний з гнучкою гофрою SoloPlast У-0111)</t>
  </si>
  <si>
    <t>Код ДК 021:2015-44420000-0 Будівельні товари (малярна стрічка 50*50 м, 48*48 м)</t>
  </si>
  <si>
    <t>Код ДК 021:2015-44510000-8 Знаряддя</t>
  </si>
  <si>
    <t xml:space="preserve">Код ДК 021:2015-44510000-8 Знаряддя (алюм. закленки 4,8*10мм, бур по бетону 6*160мм, бур по бетону 8*160мм, виикрутка реверсивна з шарніром+біти+ головки, викрутка реверсивна  набір біт, диск відрізний по металу 125*22,23*1,00 мм, диск відрізний по металу 125*22,23*1,6 мм, диск відрізний по металу 230*22,23*2,5 мм, круг по металу та нерж 125*1,2*22,2, свердло по дерву 6 мм,  свердло по дерву 8 мм, свердло по металу 12 мм, свердло по металу 9,5 мм, свердло по металу  З6Ь5 14 мм проточне 10 мм, щітка ручна сталева 165 мм, дюбель потрійного розпору 10*60, дюбельрозп. б/ком. з удар. шур 8,0*8,0, шуруп для лаг 6*70 </t>
  </si>
  <si>
    <t>Код ДК 021:2015-44510000-8 Знаряддя (викрутка, плоскогубці, молоток слюсарський, серцевина кл. лазер. нікель )</t>
  </si>
  <si>
    <t>Код ДК 021:2015-44510000-8 Знаряддя (лопата, держак до лопати, викрутка, бур по бетону)</t>
  </si>
  <si>
    <t>Код ДК 021:2015-44510000-8 Знаряддя (пістолет для силікону, свердло по металу, скоба)</t>
  </si>
  <si>
    <t>Код ДК 021:2015-44511000-5 Ручні знаряддя (держак до грабель, викрутка реверсивна з шарніром+біта+головки, ключ комбінований 27 мм, ключ комбінований 10 мм)</t>
  </si>
  <si>
    <t>Код ДК 021:2015-44520000-1 Замки, ключі та петлі (дверний упор, серцевина дверна, замок навісний)</t>
  </si>
  <si>
    <t>Код ДК 021:2015-44520000-1 Замки, ключі та петлі (замок навісний 63 мм, серцевина імперіал 70 мм 35/35 С-РВ к-к лазар 5 кл )</t>
  </si>
  <si>
    <t>Код ДК 021:2015-44521000-8 Навісні та врізні замки різні (замок навісний 75 мм, замок навісний 50 мм)</t>
  </si>
  <si>
    <t>Код ДК 021:2015-44530000-4 Кріпильні деталі (алюмінієві заклепки 1,8*10 мм, дюбель потрійного розпору 10*60, шуруп для лаг 6*70, саморіз 4,8*35 оцинкований, дюбель розпірний  б/ком)</t>
  </si>
  <si>
    <t>Код ДК 021:2015-44530000-4 Кріпильні деталі (дюбель розпірний б/ком  6,0*40, скоба з цвяхом 7 мм, скоба з цвяхом 8 мм, дюбель з гаком прямий РХ-08 8)</t>
  </si>
  <si>
    <t>Код ДК 021:2015-44530000-4 Кріпильні деталі(трійник латунний)</t>
  </si>
  <si>
    <t>Код ДК 021:2015-44610000-9 Цистерни, резервуари, контейнери та посудини високого тиску (Код згідно УКТЗЕД 7311 00-ємності для стиснених, або скраплених газів (кисню медичного)) (Вертикальна кріогенна ємність PortaCryo об'ємом 3000 л і робочим тиском 17 бар до Системи киснепостачання)</t>
  </si>
  <si>
    <t>Код ДК 021:2015-44610000-9 Цистерни, резервуари, контейнери та посудини високого тиску (Код згідно УКТЗЕД 7311 00-ємності для стиснених, або скраплених газів)(Вертикальна кріогенна ємність PortaCryo об'ємом 3000 л і робочим тиском 17 бар до Системи киснепостачання)</t>
  </si>
  <si>
    <t>Код ДК 021:2015-44610000-9 Цистерни, резервуари, контейнери та посудини високого тиску (Код згідно УКТЗЕД 7311 00-ємності для стиснених, або скраплених газів)(комплект обладнання на базі кріоциліндра (газифікатора) об'ємом 3000 літрів і випарника на 100Nm3/год)</t>
  </si>
  <si>
    <t>Код ДК 021:2015-44610000-9 Цистерни, резервуари, контейнери та посудини високого тиску (балон 40л)</t>
  </si>
  <si>
    <t>Код ДК 021:2015-44810000-1 Фарби (фарба масляна)</t>
  </si>
  <si>
    <t>Код ДК 021:2015-44830000-7 Мастики, шпаклівки, замазки та розчинники (емаль алкідна ПФ -115 П бежева 2,8кг, уайт-спіріт 1л, уніпак мал.65 гр)</t>
  </si>
  <si>
    <t>Код ДК 021:2015-45112730-1 Благоустрій доріг і шосе (виконання робіт згідно форми КБ-3 благоустрій території КНП "Стебницька міська лікарня" ДМР)</t>
  </si>
  <si>
    <t>Код ДК 021:2015-45260000-7 Покрівельні роботи та інші спеціалізовані будівельні роботи (капітальний ремонт покрівлі господарських будівель КНП "СМТ" ДМР (парогенераторна, гараж))</t>
  </si>
  <si>
    <t>Код ДК 021:2015-45260000-7 Покрівельні роботи та інші спеціалізовані будівельні роботи (капітальний ремонт покрівлі господарських будівель КНП "Стебницька міська лікарня" ДМР (Баклабораторія))</t>
  </si>
  <si>
    <t>Код ДК 021:2015-45260000-7 Покрівельні роботи та інші спеціалізовані будівельні роботи (капітальний ремонт покрівлі прачечної КНП "Стебницька міська лікарня" ДМР)</t>
  </si>
  <si>
    <t>Код ДК 021:2015-45300000-0 Будівельно-монтажні роботи (Проведення робіт з монтажу (реконструкції) системи киснепостачання (облаштування майданчика для розміщення кріоциліндру) у КНП "Стебницька міська лікарня"ДМР)</t>
  </si>
  <si>
    <t>Код ДК 021:2015-45310000-3 Електромонтажні роботи (ремонт ввідно-розподільчого електрощитка та силових електромереж  (демонтаж старих силових кабелів, монтаж нових силових кабелів, монтаж силових кабелів, ошиновка кабелів) в приміщенні КНП "Стебницька міська лікарня" ДМР за адресою: Львівська обл, м. Стебник, вул. Січових Стрільців,2)</t>
  </si>
  <si>
    <t>Код ДК 021:2015-45330000-9 Водопровідні та санітарно-технічні роботи (капітальний ремонт (заміна труб водопостачання) в КНП "СМЛ" ДМР)</t>
  </si>
  <si>
    <t>Код ДК 021:2015-45350000-5 Механо-монтажні роботи (Зборка утилізатора термічного; Монтаж та установка утилізатора термічного; Зборка пульта керування; Проведення вулканізаціїї футеровки обладнання; Монтаж паливної магістралі)</t>
  </si>
  <si>
    <t>Код ДК 021:2015-45450000-6 Інші завершальні будівельні роботи (капітальний ремонт фасаду (утеплення) КНП "Стебницька міська лікарня" ДМР)</t>
  </si>
  <si>
    <t>Код ДК 021:2015-45450000-6 Інші завершальні будівельні роботи (капітальний ремонт фасаду (утеплення))</t>
  </si>
  <si>
    <t>Код ДК 021:2015-45450000-6 Інші завершальні будівельні роботи (технічний нагляд за об'єктом будівництва "Будівництво приміщення для встановлення термічного утилізатора на території КНП "Стебницька міська лікарня" ДМР")</t>
  </si>
  <si>
    <t>Код ДК 021:2015-45454000-4 Реконструкція (Реконструкція системи киснепроводу в КНП "Стебницька міська лікарня" ДМР)</t>
  </si>
  <si>
    <t>Код ДК 021:2015-48610000-7 Системи баз даних (Е-журнал Головбух: Медицина (надання прав на використання) 12 міс)</t>
  </si>
  <si>
    <t>Код ДК 021:2015-50310000-1 Технічне обслуговування і ремонт офісної техніки (заправка картриджів принтерів Canon/HP)</t>
  </si>
  <si>
    <t>Код ДК 021:2015-50310000-1 Технічне обслуговування і ремонт офісної техніки (заправка картриджів принтерів Canon/HP,  Kyacera)</t>
  </si>
  <si>
    <t>Код ДК 021:2015-50310000-1 Технічне обслуговування і ремонт офісної техніки (заправка картриджів принтерів Canon/HP, Kyacer)</t>
  </si>
  <si>
    <t>Код ДК 021:2015-50310000-1 Технічне обслуговування і ремонт офісної техніки (заправка картриджів)</t>
  </si>
  <si>
    <t>Код ДК 021:2015-50310000-1 Технічне обслуговування і ремонт офісної техніки (ремонт принтера HP LaserJet Pro MFP M 28w)</t>
  </si>
  <si>
    <t>Код ДК 021:2015-50410000-2 Послуги з ремонту і технічного обслуговування вимірювальних, випробувальних і контрольних приладів (послуги з повірки, контролю метрологічних характеристик, калібрування засобів вимірювальної техніки (Повірка ЗР ЗВТ (Фотометри заг. призначення, у т.ч. аналізатори біохімічні з фотометричним каналом усіх типів, коагулометри, аналізатори гематологічні АК-11, "COBAS", "MICROS" психометри ВИТ-1, ВИТ-2, термометри скляні від 0 до 100 град. С ТТ, ТЛ, термометри електоконт. від 0 до 300 град. С ТПК, ТЕК))</t>
  </si>
  <si>
    <t>Код ДК 021:2015-50420000-5 Послуги з ремонту і технічного обслуговування медичного та хірургічного обладнання (технічне обслуговування біохімічного аналізатора Neo Chem 100 (Neomedica, Сербія, серійний номер: S/N 550319001))</t>
  </si>
  <si>
    <t xml:space="preserve">Код ДК 021:2015-50750000-7 Послуги з технічного обслуговування ліфтів (повне технічне обслуговування пасажирського ліфта на об'єкті: КНП "Стебницька міська лікарня" ДМР за адресою: Львівська обл., м. Стебник, вул. Січ. Стрільців, 2)  </t>
  </si>
  <si>
    <t>Код ДК 021:2015-50750000-7 Послуги з технічного обслуговування ліфтів (позачерговий технічний огляд ліфта реєстр. №3767)</t>
  </si>
  <si>
    <t>Код ДК 021:2015-5800000-6 Продукти харчування різні (чай 250 г)</t>
  </si>
  <si>
    <t>Код ДК 021:2015-60000000-8 Транспортні послуги (крім транспортування відходів) (доставка балонів з медичним киснем)</t>
  </si>
  <si>
    <t>Код ДК 021:2015-60000000-8 Транспортні послуги (крім транспортування відходів) (доставка медичного кисню)</t>
  </si>
  <si>
    <t>Код ДК 021:2015-60100000-9 Послуги з автомобільних перевезень (послуги по доставці кисню газоподібного медичного)</t>
  </si>
  <si>
    <t xml:space="preserve">Код ДК 021:2015-66514110-0 Послуги зі страхування транспортних засобів (Послуги з обов’язкового страхування цивільно - правової відповідальності власників наземних транспортних засобів, КНП "СМЛ" ДМР (ГАЗ 2705, Volkswagen Transporter. Renault Logan))
</t>
  </si>
  <si>
    <t>Код ДК 021:2015-66514110-0 Послуги зі страхування транспортних засобів (Послуги з обов’язкового страхування цивільно - правової відповідальності власників наземних транспортних засобів, КНП "СМЛ" ДМР)</t>
  </si>
  <si>
    <t>Код ДК 021:2015-71240000-2 Архітектурні, інженерні та планувальні послуги (виготовлення технічної документації (технічні паспорти)  на нежитлові будинки за адресою: м. Стебник, вул. Січових Стрільців,2 (поліклініка -літ А-2, харчоблок- літ. В-1, лабораторія-літ. Д-1))</t>
  </si>
  <si>
    <t>Код ДК 021:2015-71248000-8 Технічний нагляд за проектами та документацією (технічний нагляд за будівництвом об'єкту: "Капітальний ремонт (заміна труб водопостачання) в КНП "СМЛ" ДМР")</t>
  </si>
  <si>
    <t>Код ДК 021:2015-71248000-8 Технічний нагляд за проектами та документацією (технічний нагляд за будівництвом об'єкту: "Капітальний ремонт покрівлі господарських будівель в КНП "СМЛ" ДМР" (парагенераторна, гараж))</t>
  </si>
  <si>
    <t>Код ДК 021:2015-71319000-7 Експертні послуги (експертиза проектно-кошторисної документації по об'єкту: "Капітальний ремонт благоустрою території поліклінічного відділення КНП "Стебницька міська лікарня")</t>
  </si>
  <si>
    <t>Код ДК 021:2015-71320000-7 Послуги з інженерного проектування (виготовлення кошторисної документації по об'єкту "Капітальний ремонт (заміна віконних та балконних блоків) у КНП "Стебницька міська лікарня"ДМР)</t>
  </si>
  <si>
    <t>Код ДК 021:2015-71320000-7 Послуги з інженерного проектування (виготовлення кошторисної документації по об'єкту "Реконструкція системи киснепроводу  КНП "Стебницька міська лікарня" ДМР")</t>
  </si>
  <si>
    <t>Код ДК 021:2015-71320000-7 Послуги з інженерного проектування (виготовлення проектно-кошторисної документації по об'єкту "Робочий проект "Капітальний ремонт благоустрою території поліклінічного відділення КНП "Стебницька міська лікарня" ДМР" )</t>
  </si>
  <si>
    <t>Код ДК 021:2015-71320000-7 Послуги з інженерного проектування (виготовлення проектно-кошторисної документації. Робочий проект  "Будівництво приміщення для встановлення термічного утилізатора КНП "Стебницька міська лікарня" ДМР")</t>
  </si>
  <si>
    <t xml:space="preserve">Код ДК 021:2015-71320000-7 Послуги з інженерного проектування (виготовлення проектно-кошторисної документації. Робочий проект "Будівництво приміщення для встановлення термічного утилізатора КНП "Стебницька міська лікарня" ДМР")
</t>
  </si>
  <si>
    <t>Код ДК 021:2015-71520000-9 Послуги з нагляду за виконанням будівельних робіт (послуги по здійсненню технагляду за капітальним ремонтом (Заміна віконних та балконних блоків) в КНП "Стебницька міська лікарня"ДМР)</t>
  </si>
  <si>
    <t>Код ДК 021:2015-71520000-9 Послуги з нагляду за виконанням будівельних робіт (технічний нагляд за  "Проведення робіт з монтажу (реконструкції) системи киснепостачання (облаштування майданчика для розміщення кріоциліндру) у КНП "Стебницька міська лікарня" ДМР")</t>
  </si>
  <si>
    <t>Код ДК 021:2015-71520000-9 Послуги з нагляду за виконанням будівельних робіт (технічний нагляд за будівництвом об'єкту "Капітальний ремонт покрівлі прачечної у КНП "Стебницька міська лікарня" ДМР Львівської обл.")</t>
  </si>
  <si>
    <t>Код ДК 021:2015-71520000-9 Послуги з нагляду за виконанням будівельних робіт (технічний нагляд за будівництвом об'єкту: "Реконструкція системи киснепроводу у КНП "Стебницька міська лікарня" ДМР ")</t>
  </si>
  <si>
    <t>Код ДК 021:2015-71520000-9 Послуги з нагляду за виконанням будівельних робіт (технічний нагляд за об'єктом "Капітальний ремонт системи киснепостачання КНП "Стебницька міська лікарня"ДМР")</t>
  </si>
  <si>
    <t>Код ДК 021:2015-71520000-9 Послуги з нагляду за виконанням будівельних робіт (технічний нагляд на об'єкті "Капітальний ремонт благоустрою поліклінічного відділення КНП "Стебницька міська лікарня" ДМР ")</t>
  </si>
  <si>
    <t>Код ДК 021:2015-71520000-9 Послуги з нагляду за виконанням будівельних робіт (технічний нагляд на об'єкті "Капітальний ремонт фасаду (утеплення) КНП "Стебницька міська лікарня" ДМР (адміністративне відділення)")</t>
  </si>
  <si>
    <t>Код ДК 021:2015-71630000-3 Послуги з технічного огляду та випробовувань (випробування балону з ревізією вентиля)</t>
  </si>
  <si>
    <t>Код ДК 021:2015-71630000-3 Послуги з технічного огляду та випробовувань (пусконалагоджувальні роботи)</t>
  </si>
  <si>
    <t>Код ДК 021:2015-71630000-3 Послуги з технічного огляду та випробовувань (технічне діагностування лікарняного ліфта реєстр. № 3767, видача висновку після техдіагностики)</t>
  </si>
  <si>
    <t>Код ДК 021:2015-71900000-7 Лабораторні послуги ( послуги з проведення лабораторно-діагностичних досліджень (тестування на гостру респіраторну хворобу COVID-19, спричинену коронавірусом SARS-CoV-2) методом ПЛР)</t>
  </si>
  <si>
    <t>Код ДК 021:2015-71900000-7 Лабораторні послуги (медичні послуги з проведення спеціалізованих лабораторно- діагностичних досліджень (пакет "Коагулограма (протромбінований час, протромбінований індекс, міжнародний показник (INR), активований частковий тромбопластиновий час (АЧТЧ, АРТТ), фібриноген), коронавірус SARS-CoV2 (COVID-19) антитіла lg M, антитіла lg G методом імуноферментного аналізу (ELISA)"))</t>
  </si>
  <si>
    <t>Код ДК 021:2015-71900000-7 Лабораторні послуги (медичні послуги з проведення спеціалізованих лабораторно- діагностичних досліджень (пакет "Коагулограма" (протромбінований час, протромбінований індекс, міжнародний показник (INR), активований частковий тромбопластиновий час (АЧТЧ, АРТТ), фібриноген), коронавірус SARS-CoV2 (COVID-19) антитіла lg M, антитіла lg G методом імуноферментного аналізу (ELISA)"))</t>
  </si>
  <si>
    <t>Код ДК 021:2015-71900000-7 Лабораторні послуги (розробка матеріалів щодо можливості встановлення утилізації установки (проведення лабораторних замірів))</t>
  </si>
  <si>
    <t>Код ДК 021:2015-71900000-7 Лабораторні послуги (розробка матеріалів щодо обслуговування скорочення санітарно -захисної зони (проведення досліджень грунтів))</t>
  </si>
  <si>
    <t>Код ДК 021:2015-72260000-5 Послуги, пов’язані з програмним забезпеченням (супровід програмного забезпечення комп'ютерної програми та бази даних "Облік кадрів України")</t>
  </si>
  <si>
    <t>Код ДК 021:2015-75250000-3 Послуги пожежних і рятувальних служб (Облаштування, ремонт та розчищення водостоків , водопровідних і каналізаційних колекторів та мереж)</t>
  </si>
  <si>
    <t>Код ДК 021:2015-80300000-7 Послуги у сфері вищої освіти (послуги щодо навчання за спеціальністю "Публічне управління та адміністрування" за ступенем "Магістр" для Стецик Н.Р.)</t>
  </si>
  <si>
    <t>Код ДК 021:2015-80510000-2 Послуги з професійної підготовки спеціалістів (навчання осіб, відповідальних за ведення робіт при експлуатації електроустановок споживачів, згідно вимог ПБЕЕС для присвоєння II-V групи з електробезпеки)</t>
  </si>
  <si>
    <t>Код ДК 021:2015-80510000-2 Послуги з професійної підготовки спеціалістів (навчання фахівців з публічних закупівель з 12 по 13 листопада 2020р. у кількості 2 (двох) осіб)</t>
  </si>
  <si>
    <t>Код ДК 021:2015-80510000-2 Послуги з професійної підготовки спеціалістів (участь у курсі "Інфекційний контроль: як працювати за новими вимогами", участь у курсі "Обіг лікарських засобів та медвиробів у 2021р. ")</t>
  </si>
  <si>
    <t>Код ДК 021:2015-80511000-9 Послуги з навчання персоналу ( Послуги з навчання персоналу, який обслуговує обладнання, що працює під тиском (2 особи), відповідальний за роботу обладнання, що працює під тиском (1 особа))</t>
  </si>
  <si>
    <t>Код ДК 021:2015-85140000-2 Послуги у сфері охорони здоров’я різні (камерна дезінфекція речей)</t>
  </si>
  <si>
    <t>Код ДК 021:2015-85140000-2 Послуги у сфері охорони здоров’я різні (промивка, продувка та дезінфекція кисневого трубопроводу)</t>
  </si>
  <si>
    <t xml:space="preserve">Код ДК 021:2015-90430000-0 Послуги з відведення стічних вод </t>
  </si>
  <si>
    <t>Код ДК 021:2015-90510000-5 Утилізація/видалення сміття та поводження зі сміттям ((послуги із збирання, зберігання, утилізації небезпечних відходів (шляхом знешкодження). Медичні відходи категорії "В" (шприци, голки, скарифікатори, перев'язувальні матеріали, мед.системи, рукавиці використані, тара аптечна, засоби індивідуального захисту))</t>
  </si>
  <si>
    <t>Код ДК 021:2015-90510000-5 Утилізація/видалення сміття та поводження зі сміттям (послуги зі збирання, зберігання, утилізації відходів шляхом знешкодження- клінічні, побутові та подібні їм відходи)</t>
  </si>
  <si>
    <t>Код ДК 021:2015-90520000-8 Послуги у сфері поводження з радіоактивними, токсичними, медичними та небезпечними відходами (послуги із збирання, зберігання, утилізації небезпечних відходів (шляхом знешкодження). Медичні відходи категорії "В" (шприци, голки, скарифікатори, перев'язувальні матеріали, мед.системи, рукавиці використані, тара аптечна, засоби індивідуального захисту))</t>
  </si>
  <si>
    <t>Код ДК 021:2015-90710000-7 Екологічний менеджмент (розробка матеріалів щодо можливості встановлення утилізаційної установки (обгрунтування впливу на водне середовище))</t>
  </si>
  <si>
    <t>Код ДК 021:2015-90710000-7 Екологічний менеджмент (розробка матеріалів щодо обгрунтування можливості встановлення утилізаційної установки (обгрунтування впливу на атмосферне повітря))</t>
  </si>
  <si>
    <t>Код ДК 021:2015-98390000-3 Інші послуги (оренда кисневих балонів)</t>
  </si>
  <si>
    <t>Код ДК 021:2015: 33140000-3 Медичні матеріали (трубка трахеальна (трахеостомічна)); Код ДК 021:2015: 33140000-3 Медичні матеріали (шпатель однораз. заст.)</t>
  </si>
  <si>
    <t>Код ДК 021:2015: 33140000-3 Медичні матеріали (трубка трахеальна (трахеостомічна), шпатель)</t>
  </si>
  <si>
    <t>Код ДК 021:2015:03200000-3 Зернові культури, картопля, овочі, фрукти та горіхи (морква, капуста, цибуля, картопля, рис пропарений, крупа ячмінна,гречка, крупа пшоно, крупа манна, горох жовтий)</t>
  </si>
  <si>
    <t>Код ДК 021:215-31521100-5 Настільні світильники (настільна лампа HL-5568 голуба, настільна лампа HL-5568 рожева)</t>
  </si>
  <si>
    <t>Код ДК 021:22200000-2 Газети, періодичні спеціалізовані та інші періодичні видання і журнали (журнал Довідник головної медичної сестри 12 міс з 01.01.2021р., журнал Кадровик-01 12 міс з 01.01.2021р., журнал Управління закладом охорони здоров'я 12 міс з 01.01.2021р.)</t>
  </si>
  <si>
    <t>Код ДК 022:2015-31731000-9 Електротехнічне приладдя (ящик ЯТП 0,25 220/36)</t>
  </si>
  <si>
    <t>Код ДК 201:2015-72260000-5 Послуги, пов’язані з програмним забезпеченням (постачання примірника пакетів оновлень комп'ютерної програми "M.E.Doc". Модуль "M.E.Doc Звітність" з правом використання на рік, постачання примірника пакетів оновлень комп'ютерної програми "M.E.Doc". Модуль "M.E.Doc Електронний документообіг" (базовий) з правом використання на рік)</t>
  </si>
  <si>
    <t>Код ДК 33150000-6 Апаратура для радіотерапії, механотерапії, електротерапії та фізичної терапії (Концентратор кисневий «БІОМЕД" 7F-10)</t>
  </si>
  <si>
    <t>Код ДК:2015-80500000-9 Навчальні послуги (надання освітніх послуг)</t>
  </si>
  <si>
    <t>Код КД 021:2015 - 50410000-2 Послуги з ремонту і технічного обслуговування вимірювальних, випробувальних і контрольних приладів (Повірка ЗР засобів вимірювальної техніки (манометри кисневі робочі МК))</t>
  </si>
  <si>
    <t>Код КД 021:2015- 34330000-9 Запасні частини до вантажних транспортних засобів, фургонів та легкових автомобілів (Наконечники VW T-5 лівий, правий,кулак поворотний зовнішній, шарова опора, втулка стабілізатора, ролик розсувний)</t>
  </si>
  <si>
    <t>Код КД 021:2015-22900000-9 Друкована продукція різна(наклейки 250*50 мм, листівка А6 газетний папір, друк А4, друк А5 )</t>
  </si>
  <si>
    <t>Кол ДК 021:2015-19640000-4 Поліетиленові мішки та пакети для сміття (мішки Чисто 35*100, пакети для сміття Блиск 125*25)</t>
  </si>
  <si>
    <t>Комп"ютер</t>
  </si>
  <si>
    <t>Комплект обладнання для проведення досліджень методом ІФА (код ДК 021:2015: 38430000-8 Детектори та аналізатори (Набір для ІФА DIA-SARS-CoV-2-NP-IgG T2-12 T1-26G02)</t>
  </si>
  <si>
    <t>Комплект обладнання для проведення досліджень методом ІФА (код ДК 021:2015: 38430000-8 Детектори та аналізатори (Набір для ІФА DIA-SARS-CoV-2-NP-IgG T2-12 T1-26G02, 192, Набір для ІФА DIA-SARS-CoV-2-NP-IgМ, T2-12 T1-26М02, 96)</t>
  </si>
  <si>
    <t>Комплект обладнання для проведення досліджень методом ІФА (код ДК 021:2015: 38430000-8 Детектори та аналізатори, код НК 024:2019 - 56719 - Аналізатор імуноферментний (ІФА), IVD напівавтоматичний): напівавтоматичний імуноферментний аналізатор, рідер LabAnalyt M201, промивач мікропланшетний для ІФА вошер LabAnalyt W 206, струшувач мікропланшетний лоя ІФА, термошейкер DLab HC 110-PRO</t>
  </si>
  <si>
    <t>Контроль і технічний нагляд  за виконанням капітального ремонту</t>
  </si>
  <si>
    <t>Л 295/468/20</t>
  </si>
  <si>
    <t>Л115/81/20</t>
  </si>
  <si>
    <t>Л116/82/20</t>
  </si>
  <si>
    <t>Л117/87/20</t>
  </si>
  <si>
    <t>Л118/88/20</t>
  </si>
  <si>
    <t>Л158/122/20</t>
  </si>
  <si>
    <t>Л159/104/20</t>
  </si>
  <si>
    <t>Л198/131/20</t>
  </si>
  <si>
    <t>Л199/132/20</t>
  </si>
  <si>
    <t>Л208/246/20</t>
  </si>
  <si>
    <t>Л209/245/20</t>
  </si>
  <si>
    <t>Л211/179/20</t>
  </si>
  <si>
    <t>Л212/251/20</t>
  </si>
  <si>
    <t>Л215/250/20</t>
  </si>
  <si>
    <t>Л224/249/20</t>
  </si>
  <si>
    <t>Л225/243/20</t>
  </si>
  <si>
    <t>Л226/244/20</t>
  </si>
  <si>
    <t>Л230/196/20</t>
  </si>
  <si>
    <t>Л232/248/20</t>
  </si>
  <si>
    <t>Л294/467/20</t>
  </si>
  <si>
    <t>Л296/469/20</t>
  </si>
  <si>
    <t>Л311/639/20</t>
  </si>
  <si>
    <t>Л312/638/20</t>
  </si>
  <si>
    <t>Л313/636/20</t>
  </si>
  <si>
    <t>Л314/637/20</t>
  </si>
  <si>
    <t>Л344/805/20</t>
  </si>
  <si>
    <t>Л345/804/20</t>
  </si>
  <si>
    <t>Л346/806/20</t>
  </si>
  <si>
    <t>Л347/807/20</t>
  </si>
  <si>
    <t>Л361/908/20</t>
  </si>
  <si>
    <t>Л388/921/20</t>
  </si>
  <si>
    <t>Л389/920/20</t>
  </si>
  <si>
    <t>Л42/125/20</t>
  </si>
  <si>
    <t>Л80/57/20</t>
  </si>
  <si>
    <t>Л81/56/20</t>
  </si>
  <si>
    <t>Л82/58/20</t>
  </si>
  <si>
    <t>ЛІП-00000046/417/20</t>
  </si>
  <si>
    <t>ЛІШНЯНСЬКИЙ ВАСИЛЬ ЯРОСЛАВОВИЧ</t>
  </si>
  <si>
    <t>ЛП0906/2/180/20</t>
  </si>
  <si>
    <t>ЛП2406/1/226/20</t>
  </si>
  <si>
    <t>ЛП2406/2/227/20</t>
  </si>
  <si>
    <t>ЛП2406/3/228/20</t>
  </si>
  <si>
    <t>ЛЬВІВСЬКА ТОРГОВО-ПРОМИСЛОВА ПАЛАТА</t>
  </si>
  <si>
    <t>ЛЬВІВСЬКИЙ НАЦІОНАЛЬНИЙ МЕДИЧНИЙ УНІВЕРСИТЕТ ІМЕНІ ДАНИЛА ГАЛИЦЬКОГО</t>
  </si>
  <si>
    <t>ЛЬВІВСЬКИЙ НАЦІОНАЛЬНИЙ УНІВЕРСИТЕТ ВЕТЕРИНАРНОЇ МЕДИЦИНИ ТА БІОТЕХНОЛОГІЙ ІМЕНІ С.З.ҐЖИЦЬКОГО</t>
  </si>
  <si>
    <t>Лагосепт С (серветки в тубі 100шт);  КвікДес нью 1л</t>
  </si>
  <si>
    <t>Лінолеум</t>
  </si>
  <si>
    <t>МІТРОФАНОВ ОЛЕКСАНДР ВІКТОРОВИЧ</t>
  </si>
  <si>
    <t>МАКСИМІВ ІГОР ІВАНОВИЧ</t>
  </si>
  <si>
    <t>МАЛЕ ПРИВАТНЕ ПІДПРИЄМСТВО "ГАЗТЕХСЕРВІС-АВТО"</t>
  </si>
  <si>
    <t>МАЛЕ ПРИВАТНЕ ПІДПРИЄМСТВО "НІКА"</t>
  </si>
  <si>
    <t>МАТУШКІНА СВІТЛАНА ГЕОРГІЇВНА</t>
  </si>
  <si>
    <t>МИХАЙЛЕНКО ІВАН ГРИГОРОВИЧ</t>
  </si>
  <si>
    <t>МК 1507/1/331/20</t>
  </si>
  <si>
    <t>МК 2807/1/384/20</t>
  </si>
  <si>
    <t>МК0206/1/171/20</t>
  </si>
  <si>
    <t>МК0409/1/571/20</t>
  </si>
  <si>
    <t>МОСТЮК ОРЕСТ ІГОРОВИЧ</t>
  </si>
  <si>
    <t>Медичне обладнання та вироби медичного призначення різні</t>
  </si>
  <si>
    <t>Меропенем 1г пор. д/п ін. розчину;  Азитроміцин 500мг</t>
  </si>
  <si>
    <t>Мило рідке з антибактеріальною дією</t>
  </si>
  <si>
    <t>Мило рідке з антибактеріальною дією "Професійне", 5,0кг</t>
  </si>
  <si>
    <t>Монітор пацієнта "Біомед" ВМ800В</t>
  </si>
  <si>
    <t>Мініелектростанція інверторна Daewoo GDA 4800i</t>
  </si>
  <si>
    <t>М’ясо свинини; філе куряче; м’ясо свійської птиці свіже, охолоджене (тушки курей)</t>
  </si>
  <si>
    <t>НЕСТОР РУСЛАНА АНТОНІВНА</t>
  </si>
  <si>
    <t>Набір для ІФА DIA-SARS-CoV-2-NP-IgG T2-12 T1-26G02</t>
  </si>
  <si>
    <t>Набір для ІФА DIA-SARS-CoV-2-NP-IgG T2-12 T1-26G02, 192; Набір для ІФА DIA-SARS-CoV-2-NP-IgМ, T2-12 T1-26М02, 96</t>
  </si>
  <si>
    <t>Напівавтоматичний аналізатор сечі LA-50 з комплектом тест-смужок (код НК 024:2019-35774 - Аналізатор сечі напівавтоматизований); Мікроскоп бінокулярний Micro Med Fusion (НК 024:2019-17440-Інвертований світловий мікроскоп)</t>
  </si>
  <si>
    <t>Напівавтоматичний імуноферментний аналізатор, рідер LabAnalyt M201; Промивач мікропланшетний для ІФА вошер LabAnalyt W 206; Струшувач мікропланшетний лоя ІФА, термошейкер DLab HC 110-PRO</t>
  </si>
  <si>
    <t>Насос шприцевий "Біомед" М200А</t>
  </si>
  <si>
    <t>Насос шприцевий Benefusion SP1 (НК 024:2019 - 35754 - Оральний дозатор для рідких речовин)</t>
  </si>
  <si>
    <t>Насос інфузійний SN-1600 V; Система протипролижнева в комплекті OSD-QDC-303</t>
  </si>
  <si>
    <t>Настінне кріплення X-DIGITAL STEEL для телевізора; Настінне кріплення BrateckPRB-18S для проектора</t>
  </si>
  <si>
    <t>Нафтопродукти, паливо, електроенергія та інші джерела енергії</t>
  </si>
  <si>
    <t>Немає лотів</t>
  </si>
  <si>
    <t>Номер договору</t>
  </si>
  <si>
    <t>Нітрогліцерин - Здоров'я 0,0005 №40 табл; Нітрогліцерин 0,5 №40 табл; Клексан 400 МО шприц 0,4 мл №10; Амоксиклав порошок д/п розчину 1200 мг №5</t>
  </si>
  <si>
    <t>Опромінювач бактерицидний ОБН-150 мп</t>
  </si>
  <si>
    <t>ПАЛАЙДА  ЄВГЕН ІВАНОВИЧ</t>
  </si>
  <si>
    <t>ПАЛАЙДА ЄВГЕН ІВАНОВИЧ</t>
  </si>
  <si>
    <t>ПАСІЧНИК ПАВЛО АНДРІЙОВИЧ</t>
  </si>
  <si>
    <t>ПАСІЧНИК ЮЛІЯ МИКОЛАЇВНА</t>
  </si>
  <si>
    <t>ПОЛОЗОК ЮРІЙ ІВАНОВИЧ</t>
  </si>
  <si>
    <t>ПОНОМАРЬОВА ЛАРИСА ІВАНІВНА</t>
  </si>
  <si>
    <t>ПОХОДЖАЙ МИКОЛА МИХАЙЛОВИЧ</t>
  </si>
  <si>
    <t>ПП Святківський Ярослав Ярославович</t>
  </si>
  <si>
    <t>ПП-31/842/20</t>
  </si>
  <si>
    <t>ППА-1/779/20</t>
  </si>
  <si>
    <t>ППА-10/788/20</t>
  </si>
  <si>
    <t>ППА-11/789/20</t>
  </si>
  <si>
    <t>ППА-12/790/20</t>
  </si>
  <si>
    <t>ППА-12/791/20</t>
  </si>
  <si>
    <t>ППА-14/792/20</t>
  </si>
  <si>
    <t>ППА-15/793/20</t>
  </si>
  <si>
    <t>ППА-16/808/20</t>
  </si>
  <si>
    <t>ППА-17/794/20</t>
  </si>
  <si>
    <t>ППА-18/795/20</t>
  </si>
  <si>
    <t>ППА-19/796/20</t>
  </si>
  <si>
    <t>ППА-2/780/20</t>
  </si>
  <si>
    <t>ППА-20/797/20</t>
  </si>
  <si>
    <t>ППА-21/798/20</t>
  </si>
  <si>
    <t>ППА-22/833/20</t>
  </si>
  <si>
    <t>ППА-23/834/20</t>
  </si>
  <si>
    <t>ППА-24/835/20</t>
  </si>
  <si>
    <t>ППА-25/836/40</t>
  </si>
  <si>
    <t>ППА-26/837/20</t>
  </si>
  <si>
    <t>ППА-27/838/20</t>
  </si>
  <si>
    <t>ППА-28/839/20</t>
  </si>
  <si>
    <t>ППА-29/840/20</t>
  </si>
  <si>
    <t>ППА-3/781/20</t>
  </si>
  <si>
    <t>ППА-30/841/20</t>
  </si>
  <si>
    <t>ППА-32/843/20</t>
  </si>
  <si>
    <t>ППА-33/844/20</t>
  </si>
  <si>
    <t>ППА-34/845/20</t>
  </si>
  <si>
    <t>ППА-35/846/20</t>
  </si>
  <si>
    <t>ППА-36/847/20</t>
  </si>
  <si>
    <t>ППА-37/848/20</t>
  </si>
  <si>
    <t>ППА-38/849/20</t>
  </si>
  <si>
    <t>ППА-39/850/20</t>
  </si>
  <si>
    <t>ППА-4/782/20</t>
  </si>
  <si>
    <t>ППА-5/783/20</t>
  </si>
  <si>
    <t>ППА-6/784/20</t>
  </si>
  <si>
    <t>ППА-7/785/20</t>
  </si>
  <si>
    <t>ППА-8/786/20</t>
  </si>
  <si>
    <t>ППА-9/787/20</t>
  </si>
  <si>
    <t>ПРИВАТНЕ АКЦІОНЕРНЕ ТОВАРИСТВО "ЛЬВІВОБЛЕНЕРГО"</t>
  </si>
  <si>
    <t>ПРИВАТНЕ ПІДПРИЄМСТВО "МЕДІНФОСЕРВІС"</t>
  </si>
  <si>
    <t>ПРИВАТНЕ ПІДПРИЄМСТВО "ОЛВІК"</t>
  </si>
  <si>
    <t>ПРИВАТНЕ ПІДПРИЄМСТВО "ПОСВІТ"</t>
  </si>
  <si>
    <t>ПРИВАТНЕ ПІДПРИЄМСТВО "СОЛОМІЯ-СЕРВІС"</t>
  </si>
  <si>
    <t>ПРИВАТНЕ ПІДПРИЄМСТВО "ШИФ-ЛІФТ"</t>
  </si>
  <si>
    <t>ПРИВАТНЕ ПІДПРИЄМСТВО ВИРОБНИЧО-КОМЕРЦІЙНА ФІРМА "СКАЙІНВЕСТ"</t>
  </si>
  <si>
    <t>ПРОКОПІВ МАРТА ІВАНІВНА</t>
  </si>
  <si>
    <t>ПУБЛІЧНЕ АКЦІОНЕРНЕ ТОВАРИСТВО "УКРТЕЛЕКОМ"</t>
  </si>
  <si>
    <t>ПУКІВСЬКА ІРИНА ЙОСИПІВНА</t>
  </si>
  <si>
    <t>ПУШКАР ЛАРИСА МИКОЛАЇВНА</t>
  </si>
  <si>
    <t>ПУЩИНСЬКИЙ ВОЛОДИМИР ПАВЛОВИЧ</t>
  </si>
  <si>
    <t>ПФАЙФЕР ВАСИЛЬ СТЕПАНОВИЧ</t>
  </si>
  <si>
    <t>Пангастро табл.40мг; метопролол 50 мг; бісопрол 2,5 мг; аспаркам 5 мл</t>
  </si>
  <si>
    <t>Пангастро фл. 40 мг, пангастро  табл. 40 мг; Азитроміцин-Фармекс пор д/інф 500мг фл</t>
  </si>
  <si>
    <t>Паперові чи картонні реєстраційні журнали, бухгалтерські книги, швидкозшивачі, бланки та інші паперові канцелярські вироби</t>
  </si>
  <si>
    <t>Переговорна процедура</t>
  </si>
  <si>
    <t>Переговорна процедура, скорочена</t>
  </si>
  <si>
    <t>Переможець (назва)</t>
  </si>
  <si>
    <t>Печатка лікарська; Журнал мікробіологічних досліджень ПП,Журнал приготування і контролю пс, журнал мікроб. і паразит д-нь</t>
  </si>
  <si>
    <t>Послуги з відведення стічних вод</t>
  </si>
  <si>
    <t>Послуги з компенсації перетікань реактивної електричної енергії</t>
  </si>
  <si>
    <t>Послуги з охорони об"єктів</t>
  </si>
  <si>
    <t>Послуги з поводження з твердими побутовими відходами (вивезення)</t>
  </si>
  <si>
    <t>Послуги з ремонту і технічного обслуговування вимірювальних приладів</t>
  </si>
  <si>
    <t>Послуги з технічного обслуговування персональних комп’ютерів</t>
  </si>
  <si>
    <t>Послуги з централізованого водопостачання</t>
  </si>
  <si>
    <t>Послуги з централізованого водопостачання (ДК 021:2015 - 65110000-7 Розподіл води)</t>
  </si>
  <si>
    <t>Послуги з централізованого водопостачання та централізованого водовідведення (ДК 021:2015 - 65110000-7 Розподіл води та ДК 021:2015 - 90430000-0 Послуги з відведення стічних вод)</t>
  </si>
  <si>
    <t>Послуги у сфері охорони здоров'я різні (промивка, продувка та дезінфекція кисневого трубопроводу)</t>
  </si>
  <si>
    <t>Поточний ремонт з заміною дверних блоків санвузла палати інтенсивної терапії та рентген кабінету у КНП "Стебницька міська лікарня" ДМР</t>
  </si>
  <si>
    <t>Поточний ремонт коридорів 1-го поверху КНП "Стебницька міська лікарня"  ДМР (адміністративне відділення)</t>
  </si>
  <si>
    <t>Поточний ремонт приміщень та споруд закладів охорони здоров'я, які надають медичну допомогу пацієнтам з гострою респіраторною хворобою COVID-19, спричиненою коронавірусом SARS-CoV-2, на підставі Постанови КМУ «Деякі питання закупівлі товарів, робіт і послуг, необхідних для здійснення заходів, спрямованих на запобігання виникненню та поширенню, локалізацію та ліквідацію спалахів, епідемій та пандемій “гострої респіраторної хвороби COVID-19, спричиненої коронавірусом SARS-CoV-2,”на території України» від 20.03.2020 р. № 225 зі змінами доданими постановою Кабінету Міністрів України від 9 жовтня 2020 р. № 961, а саме поточний ремонт фасаду (утеплення) комунального некомерційного підприємства «Стебницька міська лікарня» Дрогобицької міської ради за адресою вул. Січових Стрільців, буд. 2, м. Стебник, Львівської області  (адміністративне відділення)</t>
  </si>
  <si>
    <t>Предмет закупівлі</t>
  </si>
  <si>
    <t>Приватне підприємство виробничо-комерційна фірма "Скайінвест"</t>
  </si>
  <si>
    <t>Придбання обладнання для реалізації проєкту  «Закупівля медичного обладнання (аудіометра-тимпанометра АА222) у комунальному некомерційному підприємстві «Стебницька міська лікарня» Дрогобицької міської ради Львівської області» код  ДК 021:2015 – 33120000-7 - Системи реєстрації медичної інформації та дослідне обладнання (код НК 024:2019 - 36717 Аудіометр імпедансний)</t>
  </si>
  <si>
    <t xml:space="preserve">Придбання обладнання для реалізації проєкту «Закупівля медичного обладнання (аудіометра-тимпанометра АА222) у комунальному некомерційному підприємстві «Стебницька міська лікарня» Дрогобицької міської ради Львівської області» код  ДК 021:2015 – 33120000-7 - Системи реєстрації медичної інформації та дослідне обладнання (код НК 024:2019 - 36717 Аудіометр імпедансний)
</t>
  </si>
  <si>
    <t>Пробірки</t>
  </si>
  <si>
    <t>Продукти харчування</t>
  </si>
  <si>
    <t>Підгузники для дорослих Tena, Super Seni, Халат н/ст. медичний</t>
  </si>
  <si>
    <t>Реактиви для аналізів крові</t>
  </si>
  <si>
    <t>Реактиви та контрастні речовини</t>
  </si>
  <si>
    <t>Рентгенівська плівка</t>
  </si>
  <si>
    <t>Рентгенівська плівка, фіксаж для ручної обробки рентгенівської плівки</t>
  </si>
  <si>
    <t>Респіратори FFP3</t>
  </si>
  <si>
    <t>Респіратори FFP3; Шапочка-берет спабонд; Халат медичний хірургічний стер; Бахіли нестерильні одноразові, 50пар</t>
  </si>
  <si>
    <t>Рециркулятор ультрафіолетовий бактерицидний Аерекс з лампою 30Вт</t>
  </si>
  <si>
    <t>Рециркулятор ультрафіолетовий бактерицидний; Пробірка 3мл. Cryogen із зовн. кришкою</t>
  </si>
  <si>
    <t>Рибоксин 2% 5мл, Аспаркам 5мл</t>
  </si>
  <si>
    <t>Рінгера розчин 200 мл; Метронідазол, розчин д/інф,5мг/мл; клексан 4000 МО шприц 0,4 мл,</t>
  </si>
  <si>
    <t>СЕРКІЗ МИКОЛА СТЕПАНОВИЧ</t>
  </si>
  <si>
    <t>СП045906/876/20</t>
  </si>
  <si>
    <t>СПІВАК ЛЮБОМИР ВІТАЛІЙОВИЧ</t>
  </si>
  <si>
    <t>СТЕБНИЦЬКА МІСЬКА ЛІКАРНЯ</t>
  </si>
  <si>
    <t>СТУПНИЦЬКИЙ МИХАЙЛО ІВАНОВИЧ</t>
  </si>
  <si>
    <t>Сибазон розчин д/ін. 0,5% 2мл №1 амп.; Натрію оксибутират розчин д/ін. 200мг/мл амп. 10мл №10.</t>
  </si>
  <si>
    <t>Спирт етиловий 96% 100 мл; Спирт етиловий 70% 100 мл; Лінезолідін 2мг/мл розчин д/інф 300 мг фл. №1; Доксициклін г/х 0,1г №10 капс; Плаквеніл 200 мг №60</t>
  </si>
  <si>
    <t>Спрощена закупівля</t>
  </si>
  <si>
    <t>Статус договору</t>
  </si>
  <si>
    <t>Стерильний аплікатор в транспортній пробірці, з середовищем Amies, пластиковий стержень</t>
  </si>
  <si>
    <t>Сума договору</t>
  </si>
  <si>
    <t>ТІВ-1/809/20</t>
  </si>
  <si>
    <t>ТІВ-11/1025/20</t>
  </si>
  <si>
    <t>ТІВ-12/1023/20</t>
  </si>
  <si>
    <t>ТІВ-12/1024/20</t>
  </si>
  <si>
    <t>ТІВ-14/1022/20</t>
  </si>
  <si>
    <t>ТІВ-15/1021/20</t>
  </si>
  <si>
    <t>ТІВ-17/1015/20</t>
  </si>
  <si>
    <t>ТІВ-2/810/20</t>
  </si>
  <si>
    <t>ТІВ-3/811/20</t>
  </si>
  <si>
    <t>ТІВ-4/1017/20</t>
  </si>
  <si>
    <t>ТІВ-6/1018/20</t>
  </si>
  <si>
    <t>ТІВ-7/1019/20</t>
  </si>
  <si>
    <t>ТІВ-8/1020/20</t>
  </si>
  <si>
    <t>ТОВ "ВОРВАРТС ФАРМА"</t>
  </si>
  <si>
    <t>ТОВ "Медична компанія КМ"</t>
  </si>
  <si>
    <t>ТОВ "Центр слухової реабілітації "АВРОРА"</t>
  </si>
  <si>
    <t>ТОВАРИСТВО З ДОДАТКОВОЮ ВІДПОВІДАЛЬНІСТЮ "СТРАХОВА КОМПАНІЯ "ГАРДІАН"</t>
  </si>
  <si>
    <t>ТОВАРИСТВО З ОБМЕЖЕНОЮ ВІДПОВІДАЛЬНІСТЮ  "В И Ш Е Н Ь К А "</t>
  </si>
  <si>
    <t>ТОВАРИСТВО З ОБМЕЖЕНОЮ ВІДПОВІДАЛЬНІСТЮ "АВ МЕТАЛ ГРУП"</t>
  </si>
  <si>
    <t>ТОВАРИСТВО З ОБМЕЖЕНОЮ ВІДПОВІДАЛЬНІСТЮ "АПТЕКА ДОБРОГО ДНЯ"</t>
  </si>
  <si>
    <t>ТОВАРИСТВО З ОБМЕЖЕНОЮ ВІДПОВІДАЛЬНІСТЮ "АПТЕКА №44"</t>
  </si>
  <si>
    <t>ТОВАРИСТВО З ОБМЕЖЕНОЮ ВІДПОВІДАЛЬНІСТЮ "АСКЕП"</t>
  </si>
  <si>
    <t>ТОВАРИСТВО З ОБМЕЖЕНОЮ ВІДПОВІДАЛЬНІСТЮ "БІОАЛЬТЕРНАТИВА"</t>
  </si>
  <si>
    <t>ТОВАРИСТВО З ОБМЕЖЕНОЮ ВІДПОВІДАЛЬНІСТЮ "ВЕСТА МЕДІКЕЛ"</t>
  </si>
  <si>
    <t>ТОВАРИСТВО З ОБМЕЖЕНОЮ ВІДПОВІДАЛЬНІСТЮ "ВОГ КАРД"</t>
  </si>
  <si>
    <t>ТОВАРИСТВО З ОБМЕЖЕНОЮ ВІДПОВІДАЛЬНІСТЮ "ВОРВАРТС ФАРМА"</t>
  </si>
  <si>
    <t>ТОВАРИСТВО З ОБМЕЖЕНОЮ ВІДПОВІДАЛЬНІСТЮ "ДАКСЕРВІС ПЛЮС"</t>
  </si>
  <si>
    <t>ТОВАРИСТВО З ОБМЕЖЕНОЮ ВІДПОВІДАЛЬНІСТЮ "ДАКСЕРВІС"</t>
  </si>
  <si>
    <t>ТОВАРИСТВО З ОБМЕЖЕНОЮ ВІДПОВІДАЛЬНІСТЮ "ДЕЗ-2018"</t>
  </si>
  <si>
    <t>ТОВАРИСТВО З ОБМЕЖЕНОЮ ВІДПОВІДАЛЬНІСТЮ "ДЕЗІНФЕКЦІЯ ПЛЮС"</t>
  </si>
  <si>
    <t>ТОВАРИСТВО З ОБМЕЖЕНОЮ ВІДПОВІДАЛЬНІСТЮ "ДОРСЕРВІС"</t>
  </si>
  <si>
    <t>ТОВАРИСТВО З ОБМЕЖЕНОЮ ВІДПОВІДАЛЬНІСТЮ "ДРОГОБИЧКИСЕНЬГАЗ ЛХЗ"</t>
  </si>
  <si>
    <t>ТОВАРИСТВО З ОБМЕЖЕНОЮ ВІДПОВІДАЛЬНІСТЮ "ЕКО ТЕПЛО ДРОГОБИЧ"</t>
  </si>
  <si>
    <t>ТОВАРИСТВО З ОБМЕЖЕНОЮ ВІДПОВІДАЛЬНІСТЮ "ЕКОЛОГІЧНІ ПЕРЕРОБНІ ТЕХНОЛОГІЇ"</t>
  </si>
  <si>
    <t>ТОВАРИСТВО З ОБМЕЖЕНОЮ ВІДПОВІДАЛЬНІСТЮ "ЕКОТЕПЛО ДРОГОБИЧ"</t>
  </si>
  <si>
    <t>ТОВАРИСТВО З ОБМЕЖЕНОЮ ВІДПОВІДАЛЬНІСТЮ "ЕЛПІС"</t>
  </si>
  <si>
    <t>ТОВАРИСТВО З ОБМЕЖЕНОЮ ВІДПОВІДАЛЬНІСТЮ "ЕПІЦЕНТР К"</t>
  </si>
  <si>
    <t>ТОВАРИСТВО З ОБМЕЖЕНОЮ ВІДПОВІДАЛЬНІСТЮ "КИЇВМЕДІКАЛ"</t>
  </si>
  <si>
    <t>ТОВАРИСТВО З ОБМЕЖЕНОЮ ВІДПОВІДАЛЬНІСТЮ "КОМПАНІЯ ЕКО-КОНСАЛТ"</t>
  </si>
  <si>
    <t>ТОВАРИСТВО З ОБМЕЖЕНОЮ ВІДПОВІДАЛЬНІСТЮ "КСЕНКО"</t>
  </si>
  <si>
    <t>ТОВАРИСТВО З ОБМЕЖЕНОЮ ВІДПОВІДАЛЬНІСТЮ "ЛОЇК І ПАРТНЕРИ"</t>
  </si>
  <si>
    <t>ТОВАРИСТВО З ОБМЕЖЕНОЮ ВІДПОВІДАЛЬНІСТЮ "ЛЬВІВГАЗ  ЗБУТ"</t>
  </si>
  <si>
    <t>ТОВАРИСТВО З ОБМЕЖЕНОЮ ВІДПОВІДАЛЬНІСТЮ "ЛЬВІВЕНЕРГОЗБУТ"</t>
  </si>
  <si>
    <t>ТОВАРИСТВО З ОБМЕЖЕНОЮ ВІДПОВІДАЛЬНІСТЮ "МІЖНАРОДНИЙ ЦЕНТР ФІНАНСОВО-ЕКОНОМІЧНОГО РОЗВИТКУ-УКРАЇНА"</t>
  </si>
  <si>
    <t>ТОВАРИСТВО З ОБМЕЖЕНОЮ ВІДПОВІДАЛЬНІСТЮ "МЕДИЧНА КОМПАНІЯ КМ"</t>
  </si>
  <si>
    <t>ТОВАРИСТВО З ОБМЕЖЕНОЮ ВІДПОВІДАЛЬНІСТЮ "МЕДИЧНИЙ ЦЕНТР "М.Т.К."</t>
  </si>
  <si>
    <t>ТОВАРИСТВО З ОБМЕЖЕНОЮ ВІДПОВІДАЛЬНІСТЮ "МЕДКОМПЛЕКС"</t>
  </si>
  <si>
    <t>ТОВАРИСТВО З ОБМЕЖЕНОЮ ВІДПОВІДАЛЬНІСТЮ "ММЕ"</t>
  </si>
  <si>
    <t>ТОВАРИСТВО З ОБМЕЖЕНОЮ ВІДПОВІДАЛЬНІСТЮ "НАЙН СКАЙЗ УКРАЇНА"</t>
  </si>
  <si>
    <t>ТОВАРИСТВО З ОБМЕЖЕНОЮ ВІДПОВІДАЛЬНІСТЮ "ПІ ЕР ПАРТНЕРС"</t>
  </si>
  <si>
    <t>ТОВАРИСТВО З ОБМЕЖЕНОЮ ВІДПОВІДАЛЬНІСТЮ "ПАРК ТРЕЙДІНГ"</t>
  </si>
  <si>
    <t>ТОВАРИСТВО З ОБМЕЖЕНОЮ ВІДПОВІДАЛЬНІСТЮ "ПРИКАРПАТСЬКА БУДІВЕЛЬНА КОМПАНІЯ"</t>
  </si>
  <si>
    <t>ТОВАРИСТВО З ОБМЕЖЕНОЮ ВІДПОВІДАЛЬНІСТЮ "ПРОМО-МЕД"</t>
  </si>
  <si>
    <t>ТОВАРИСТВО З ОБМЕЖЕНОЮ ВІДПОВІДАЛЬНІСТЮ "РАДІО НЕТВОРК"</t>
  </si>
  <si>
    <t>ТОВАРИСТВО З ОБМЕЖЕНОЮ ВІДПОВІДАЛЬНІСТЮ "ТЕТА ІНСТАЛЛ"</t>
  </si>
  <si>
    <t>ТОВАРИСТВО З ОБМЕЖЕНОЮ ВІДПОВІДАЛЬНІСТЮ "ТКО "КОМФОРТ-СЕРВІС"</t>
  </si>
  <si>
    <t>ТОВАРИСТВО З ОБМЕЖЕНОЮ ВІДПОВІДАЛЬНІСТЮ "УНІЛАБ"</t>
  </si>
  <si>
    <t>ТОВАРИСТВО З ОБМЕЖЕНОЮ ВІДПОВІДАЛЬНІСТЮ "ФАРМАСЕЛ"</t>
  </si>
  <si>
    <t>ТОВАРИСТВО З ОБМЕЖЕНОЮ ВІДПОВІДАЛЬНІСТЮ "ФОРТ-ТРЕЙД ЛТД"</t>
  </si>
  <si>
    <t>ТОВАРИСТВО З ОБМЕЖЕНОЮ ВІДПОВІДАЛЬНІСТЮ "Ю.Р.К."</t>
  </si>
  <si>
    <t>ТОВАРИСТВО З ОБМЕЖЕНОЮ ВІДПОВІДАЛЬНІСТЮ ''ДЕЗОДАР''</t>
  </si>
  <si>
    <t>ТОВАРИСТВО З ОБМЕЖЕНОЮ ВІДПОВІДАЛЬНІСТЮ ''ПРОМОДЕЗ''</t>
  </si>
  <si>
    <t>ТОВАРИСТВО ЗОБМЕЖЕНОЮ ВІДПОВІДАЛЬНІСТЮ "ЕЛПІС"</t>
  </si>
  <si>
    <t>ТРАЧ ІВАННА ВОЛОДИМИРІВНА</t>
  </si>
  <si>
    <t>ТРАЧ ВАСИЛЬ ВАСИЛЬОВИЧ</t>
  </si>
  <si>
    <t>Телевізор</t>
  </si>
  <si>
    <t>ТзОВ "Медичний центр "М.Т.К."</t>
  </si>
  <si>
    <t>ТзОВ "Медичний центр "МТК""</t>
  </si>
  <si>
    <t>ТзОВ «ЕКОТЕПЛО ДРОГОБИЧ»</t>
  </si>
  <si>
    <t>Тип процедури</t>
  </si>
  <si>
    <t>УПРАВЛІННЯ ПОЛІЦІЇ ОХОРОНИ У ЛЬВІВСЬКІЙ ОБЛАСТІ</t>
  </si>
  <si>
    <t>Узагальнена назва закупівлі</t>
  </si>
  <si>
    <t>Унітази, змішувачі</t>
  </si>
  <si>
    <t>Утилізатор органічних відходів УТ-50</t>
  </si>
  <si>
    <t>Ф-899/659/20</t>
  </si>
  <si>
    <t>Ф-903/704/20</t>
  </si>
  <si>
    <t>ФОП Івасько М.М.</t>
  </si>
  <si>
    <t>ФОП Борецький Анатолій Володимирович</t>
  </si>
  <si>
    <t>ФОП Вовчина Зіновій Іванович</t>
  </si>
  <si>
    <t>ФОП Добош Олег Михайлович</t>
  </si>
  <si>
    <t>ФОП ЖУК ЮРІЙ ІВАНОВИЧ</t>
  </si>
  <si>
    <t>ФОП Жук Марта Ігорівна</t>
  </si>
  <si>
    <t>ФОП Ковалишин Микола Романович</t>
  </si>
  <si>
    <t xml:space="preserve">ФОП Ковбас Володимир Іванович </t>
  </si>
  <si>
    <t>ФОП Кулик Руслан Павлович</t>
  </si>
  <si>
    <t>ФОП Макар Ольга Вікторівна</t>
  </si>
  <si>
    <t>ФОП Пасічник Павло Андрійович</t>
  </si>
  <si>
    <t>ФОП Пономарьова Лариса Іванівна</t>
  </si>
  <si>
    <t>ФОП Сенів Леся Євгенівна</t>
  </si>
  <si>
    <t>ФОП Співак Любомир Віталійович</t>
  </si>
  <si>
    <t>ФОП Стрілецька Н.В.</t>
  </si>
  <si>
    <t>ФОП Яроцька Діана Мирославівна</t>
  </si>
  <si>
    <t>ФТ0708/1/438/20</t>
  </si>
  <si>
    <t>ФТ2606/1/225/20</t>
  </si>
  <si>
    <t>ФТ3006/1/247/20</t>
  </si>
  <si>
    <t>Фармацевтична продукція (Дибазол, папаверин, натрію хлорид)</t>
  </si>
  <si>
    <t>Фармацевтична продукція (Магнію сульфат 25% 5мл №10)</t>
  </si>
  <si>
    <t>Фармацевтична продукція (медикаменти Таміфлю, Метрогіл, Меропенем, Гепарин, Біосепт)</t>
  </si>
  <si>
    <t>Фромілід-Уно; фервекс; Солерон-100; сальброксол; рибоксин; папаверин; новокаїн; муцитус; дозап плюс; лінекс; лізомак; левофлоксацин; ентерол; гідрокортизон-пос очна мазь; аскорбінова кислота 5%; анальгін р-н; азитроміцин</t>
  </si>
  <si>
    <t>Філія Дрогобицька "Медтехніка"</t>
  </si>
  <si>
    <t>Філія Дрогобицька "Медтехніка" Моршинського ВТП "Медтехніка"</t>
  </si>
  <si>
    <t>Халат н/ст. медичний; Підгузники для дорослих Tena, Super Seni</t>
  </si>
  <si>
    <t>Цефепім пор. д/іін. 1000 мг; реосорбілакт р-н 200мл; мефенамінова кислота 500 мн; лефлок р-н д/інф 500 мг/мл;  аерофілін 400мг табл</t>
  </si>
  <si>
    <t>ЧЕПЕЛЯК ІЛОНА КЛИМЕНТІЇВНА</t>
  </si>
  <si>
    <t>ЧЕПЕЛЯК ВАСИЛЬ ЯРОСЛАВОВИЧ</t>
  </si>
  <si>
    <t>ЧЕПЕЛЯК ВЛАДИСЛАВ ВАСИЛЬОВИЧ</t>
  </si>
  <si>
    <t>ШК004047/932/20</t>
  </si>
  <si>
    <t>ШУМИЛО МАРІЯ ТЕОДОРІВНА</t>
  </si>
  <si>
    <t>Шапочка-берет спабонд</t>
  </si>
  <si>
    <t>Шприци</t>
  </si>
  <si>
    <t>ЯРОЦЬКА ДІАНА МИРОСЛАВІВНА</t>
  </si>
  <si>
    <t>Якщо ви маєте пропозицію чи побажання щодо покращення цього звіту, напишіть нам, будь ласка:</t>
  </si>
  <si>
    <t>адреналін; амоксил-К; атропін; біосепт; дексаметазон; лінезолідин; магнію сульфат;  медоклав; муколван; флукап; фуросемід</t>
  </si>
  <si>
    <t>азимед табл.; біосепт р-н для зовн застос.; гемотран р-р  д/інф; дексаметазон р-н д/інф; Лідокаїн р-р д/інф; меленам пор. д/ін.; моксимак р-н д/інф.; натрію хлорид р-р інф; сельтавір капс. ; спирт етиловий р-н 96%; фленокс р-н д/ін. 10000; флуконазол р-н інф. 0,2%; цефтріаксон пор. д/ін. 1000 мг</t>
  </si>
  <si>
    <t>азимед табл; гемотран р-р 100мг/мл амп.5 мл №5,; дексаметазон р-н д/ін. 4мг амп.1мл №10; меленам пор. д/ін 1000 мг фл №1; моксимак р-н  д/інф. 400мг/250 мл конт. 250мл; муколван р-р д/ін 0,75% амп. 2 мл №5; омепразол ліофіл. д/р-ра д/інф. 40мг фл №1; сельтавір капс. тв. 75 мг №10(10*1) блист;  фленокс р-н д/ін 10000 МЕ  анти-Ха/мл шприц 0,4мл блістер №10;  цефтріаксон пор. д/ін 1000 мг №10</t>
  </si>
  <si>
    <t>азитроміцин ліофіл. пор д/інф 500 мг;  гепацеф комбі пор. д/ін. 2000 мг; лефлок р-н д/інф 500 мг/100мл; метилпркднізолон табл. 4 мг; мурашиний спирт; натрію хлорид р-н д/ін. 0,9%амп.5 мл; придоксин р-н д/ін 50 мг амп.; тіаміну хлорид р-н д/ін. 5% амп ; фромілід табл.в/о 250 мг; перекись водню р-н 3%; Борна кислота р-р 2%</t>
  </si>
  <si>
    <t>азитроміцин ліофіл. пор. д/інф. 500 мг; аспакркам р-н д/ін. амп. 5 мл №10; ванкоміцин ліоф. фл. 1000 мг №1; гепацеф ліоф., комбі пор. д/ін. 2000 мг фл. №1; кокарбоксилаза г/х ліоф. д/р-ра д/ін. 5 мг фл. №10 р-ль 2мл амп. №10; лефлок р-н д/інф. 500 мг/100мл; метилпреднізолон табл. 4 мг №30; придоксин р-н д/ін. 50 мг амп. 1 мл №10; рибоксин р-н д/ін. 2% амп. 5мл №10; сульфокамфокаїн р-н д/ін 100 мг/мл амп. 2мл №10; супрастин р-н 20мг амп. 1 мл №5; тіаміну хлорид р-н д/ін 5% амп. 1 мл. №10; фромілід табл. в/о 500 мг №14; солу медрол ліофіл. пор. д/ін 125 мг з розч. №1</t>
  </si>
  <si>
    <t>активний</t>
  </si>
  <si>
    <t>алмірал р-н д/ін; аспаркам р-н д/ін; ванкоміцин ліоф. фл; рибоксин р-н д/ін 2%; сульфокамфокаїн р-н д/ін; тазпен пор. д/інф</t>
  </si>
  <si>
    <t>амоксиклав пор. д/ін фл. 1,2г №5; дексаметазон р-н д/ін 4мг/мл амп. 1 мл в пачці №5; кордарон р-н д/ін 150 мг амп. 3 мл №6; європенем пор. д/п ін р-ну 500 мг фл №10; європенем пор. д/п ін р-ну 1 мг фл №10; метронідазол-Дарниця р-н д/інф 5 мг/мл фл. 100 мл №1; муколван р-н д/ін. 7,5 мг/мл амп 2 мл, в пачці №5;  медаксон пор. д/п ін р-ну 1г фл №10; медоклав пор. д/п р-ну д/ін та інф 1000 мг+200мг фл. №10; фуросемід-Дарниця р-н д/ін 10 мг/мл амп 2 мл, контурн, чарунк, уп. пачка №10</t>
  </si>
  <si>
    <t>амоксил-К пор. д/ін 1200 мг фл; гемотран р-р д/ін 100 мг/мл амп. 5 мл №5; гепарин р-н д/ін 5 тис МО/мл фл 5 мл №5; дексаметазон р-н д/ін 4 мг амп. 1 мл №10;  кордарон р-н д/ін 150 мг амп. 3 мл №6; магнію сульфат р-н д/ін 25% амп. 5мл №10; медаксон пор. д/ін 1000 мг №10 меленам пор. д/ін 1000 мг фл №1; медоклав пор. 1г/0,2г фл №10; меленам пор. д/ін 1000 мг фл №1; метронідазол р-н інф 500 мг фл. 100 мл; муколван р-р д/ін 0,75% амп. 2 мл №5; фуросемід р-н д/ін 1% амп.2 мл №10;  фленокс р-н д/ін 10000 МЕ анти-Ха/мл шприц 0,4 мл, блістер №10; фленокс р-н д/ін 10000 МЕ анти-Ха/мл шприц 0,8 мл, блістер №2</t>
  </si>
  <si>
    <t>амінокапронова кислота; анальгін; димедрол; гепацеф комбі; цефтазидим; тіаміну хлорид (вітамін В); аскорбінова кислота; сульфокамфокаїн-Дарниця; кларитроміцин; спирт мурашиний; дибазол-Дарниця; папаверин; глоду настойка; перекисю водню р-н; йоду спиртовий р-н; новокаїн</t>
  </si>
  <si>
    <t>аспаркам р-н д/ін. амп. 5мл. №10; ванкоміцин ліоф. фл. 1000 мг №1; гепацеф комбі пор. д/ін. 200мг фл. №1; дімедрол р-н д/ін 10мг/мл амп. 1 мл №10; кокарбоксилаза г/х ліоф. д/ра д/ін 50мг фл. №10+р-ль 2 мл  амп. №10; придоксин р-н д/ін 50 мг амп. 1 мл №10; рибоксин р-н амп. 200 мг 5 мл №10; супрастин р-н 20мг амн. 1 мл №5; тіаміну хлорид р-н д/ін 5% амп. 1 мл №10; тіотриазолін р-н д/ін 2,5% амп. 2 мл №10; солу медрол ліофіл  пор. д/ін 125 мг з розч. №1</t>
  </si>
  <si>
    <t>аспаркам; ванкоміцин; гепацеф; дімедрол; еуфілін; кокарбоксилаза; метилпреднізолон; придоксин; рибоксин; солу медрол. ліофіл.; сульфокамфокаїн; супрастин</t>
  </si>
  <si>
    <t>блімол р-н д/інф 10 мг/мл 100 мл;  гепарин р-н д/ін. 5000 ОД 5 мл №5</t>
  </si>
  <si>
    <t>бренем 1000 метронідазол; омепразол 20 ананта; азитроміцин 500; метронідазол</t>
  </si>
  <si>
    <t>бренем 1000; омепразол 20 Ананта; азитроміцин 500; метронідазол</t>
  </si>
  <si>
    <t xml:space="preserve">бренем порошок для розчину для ін'єкцій, по 1000 мг по 1 фл в картонній коробці; метронідазол розчин для інфузій 0,5% по 100 мл у контейнері; Рінгера розчин розчин для інфузій по 200 мл у контейнері </t>
  </si>
  <si>
    <t>бульбашковий зволожувач Intersurgical Aquflow з ємністю; кисневий з'єднувач, подвійна зовнішня різьба</t>
  </si>
  <si>
    <t>відріз марлевий 1000*90 см нестерильний; шприц одноразовий з голкою 5 мл</t>
  </si>
  <si>
    <t>відріз марлевий 1000-90 см нестерильний; шприц одноразовий з голкою 5 мл</t>
  </si>
  <si>
    <t>відсів гранітний фракція 0-5 мм; щебінь гранітний, фракція 20-40 мм</t>
  </si>
  <si>
    <t>гемотран р-н д/ін. 100 мг/мл, амп. 5 мл. №5; дексаметазон р-н д/ін 4 мг, амп. 1 мл №10; мепенам пор. д/ін 1000 мг фл.№1; моксимак р-н д/ін 400мг/250 мл конт, 250 мл; муколван р-н д/ін 0,75% амп. 2 мл №5; сельтавір капс. тв.75 мг №10 (10*1) блист; цефтріаксон пор. д/ін 1000 мг №10; азимед табл.в/о 500 мг №3</t>
  </si>
  <si>
    <t>гепарин р-н д/ін. 5000 ОД 5 мл №5; дексаметазон-Дарниця р-н д/ін 0,4% 1 мл №5; спирт етиловий 96% 100 мл; хлоргексидин р-н 0,05% 100 мл</t>
  </si>
  <si>
    <t>глутаргін р-н д/ін; цибор р-н д/ін; ацелізин пор.д/п р-ну; актовегін р-н д/ін</t>
  </si>
  <si>
    <t>глюкоза р-н для інф 50мг/мл по 200мл; інфулган р-н дляінф 10 мг/мл по 100мл; натрію хлорид  р-н для інф 9 мг/мл по 200 мл; Рінгер-лактатний р-н для інф по 200 мл; сангера р-н для ін'єкцій 100 мг/мл по 5 мл в ампулі №5</t>
  </si>
  <si>
    <t>глюкоза розчин для інф. 50 мг/мл по 200 мл,; інфулган розчин для інф. 10 мг/мл по 100 мл; натрію хлорид розчин для інф. 9 мг/мл по 100 мл; натрію хлорид розчин для інф. 9 мг/мл по 200 мл;  розчин Рінгера-лактатний розчин для інф. по 200 мл; розчин Рінгера розчин для інф. по 200 мл</t>
  </si>
  <si>
    <t>глюкоза, розчин для інф 100 мг; браксон, розчин для ін'єкцій 40 мг/мл;  інгаміст розчин  ін'єкцій 100 мг/мл</t>
  </si>
  <si>
    <t>д ДК 021:2015-33600000-6 Фармацевтична продукція (Фромілід-Уно  500 мг №7 табл, Лефлокон розчин л/інф 500 мг/мл 100мл)</t>
  </si>
  <si>
    <t>дексаметазон р-н д/ін 4 мг/мл амп.1 мл, в пачці №5; муколван р-н д/ін 7,5 мг/мл амп.2 мл, в пачці №5; фуросемід-Дарниця р-н д/ін 10 мг/мл амп.2 мл, контурн, чарунк. уп., пачка №10; меропенем віста пор. д/р-ну д/ін 1000 мг фл. №10; кордарон р-н д/ін 150 мг амп.3 мл, №6; магнію сульфат-Дарниця р-н д/ін 250 мг/мл амп 5 мл, контурн. чарунк. уп. №10; медаксон пор. д/п ін р-ну 1г фл.№10;  медоклав пор. д/п р-ну д/ін та інф 1000 мг+200 мг фл. №10; флуканазол р-н д/інф. 0,2% пляшка 100 мл №1; блімол р-н д/інф. 10 мг/мл фл. 100 мл №10</t>
  </si>
  <si>
    <t>демопенем пор. д/п р-нк 1000 мг №1; європенем пор. д/ін. 500 мг №10; клексан р-н д/ін 4000 МО шприц 0,4 мл №10;  клексан р-н д/ін 8000 МО шприц 0,8 мл №2</t>
  </si>
  <si>
    <t>дорослий тримач ендотрахеальної трубки (038-96-001); повітровід Williams, 9 см (038-90-909); повітровід Williams, 10 см (038-90-910); маска ларингеальна LarySeal Pro роз. 2 (038-94-820)</t>
  </si>
  <si>
    <t>закритий</t>
  </si>
  <si>
    <t>засіб дезінфекційний "Дез Таб Нью"1 кг; засіб дезінфекційний "СефДез софт" К/5000 мл; засіб дезінфекційний "СефДез квік" 5л; засіб дезінфекційний "Сеф Дез квік", 1л з розпилювачем</t>
  </si>
  <si>
    <t>засіб дезінфекційний "ДезТаб нью" 1 кг; засіб дезінфекційний "СефДез софт" К/5000 мл; засіб дезінфекційний "СефДез квік" 5л</t>
  </si>
  <si>
    <t>засіб дезінфекційний Квік Дес 5л; СефДез квік (серветки 100шт)</t>
  </si>
  <si>
    <t>засіб дезінфекційний КвікДес 950 мл з розпилювачем; СефДес квік (серветки 100шт)</t>
  </si>
  <si>
    <t>засіб дезінфікуючий " Квік Дес", 5 л; асіб дезінфікуючий "СефДез квік" (серветки 100шт); засіб дезінфікуючий "Дез ТАБ" 1 кг</t>
  </si>
  <si>
    <t>засіб дезінфікуючий Квік Дес, 5 л;  засіб дезінфікуючий "СефДез квік (серветки в банці)</t>
  </si>
  <si>
    <t>захисний лицьовий щиток; маска медична №1; півмаска фільтрувальна БУК-КЗ FFP3 NR</t>
  </si>
  <si>
    <t>захисний лицьовий щиток; маска медична №1; півмаска фільтрувальна БУК-КЗ FFP3 NR; рукавиці нітрилові Irap р, S</t>
  </si>
  <si>
    <t>код ДК 021:2015 - 24455000-8 Дезинфекційні засоби</t>
  </si>
  <si>
    <t>код ДК 021:2015 - 24455000-8 Дезинфекційні засоби (Лагосепт С, СефДез хенд)</t>
  </si>
  <si>
    <t>код ДК 021:2015 - 24455000-8 Дезинфекційні засоби (Лагосепт, СефДез хенд)</t>
  </si>
  <si>
    <t>код ДК 021:2015 - 24455000-8 Дезинфекційні засоби (засіб антисептичний для дезінфекції рук та шкіри "Блискавка")</t>
  </si>
  <si>
    <t>код ДК 021:2015 — 33190000-8 Медичне обладнання та вироби медичного призначення різні (Опромінювач бактерицидний ОБН-150)</t>
  </si>
  <si>
    <t>код ДК 021:2015 — 33190000-8 Медичне обладнання та вироби медичного призначення різні (Опромінювач бактерицидний ОБН-150мп)</t>
  </si>
  <si>
    <t>лаксерс пор.для розчину для ін'єкцій по 1000 мг/1000мг,1 флакон з порошком у пачці;  інфулган розчин для інфузій 10мг/мл, по 100 мл в пляшці, по 1 пл. в пачці з картону; натрію хлорид розчин для інфузій, 9 мг/мл, по 200 мл у пляшках; розчин рінгер-лактатний розчин для інфузій, по 200 мл у пляшках; розчин Рінгера, розчин для інфузій, по 200 мл у пляшках</t>
  </si>
  <si>
    <t>левофлоксацин євро; ванкоміцин-вокате; цефепім ананта; бупівакаїн</t>
  </si>
  <si>
    <t>лінесса р-н для інф</t>
  </si>
  <si>
    <t>маска захисна тришарова на резинках SMS тришарова , на гумці</t>
  </si>
  <si>
    <t>маска медична №1; рукавиці нітрилові Irap р, S</t>
  </si>
  <si>
    <t>медикаменти</t>
  </si>
  <si>
    <t>меропенем порошок д/п ін р-ну 1г №10; фармасулін Н р-н д/ін. 100МО/мл 10 мл №1</t>
  </si>
  <si>
    <t>метоклопрамід-Д 0,5% 20мл; хлоргексидин р-н 0,05% 200мл; фармасулін Н р-н д/ін 100 МО/мл фл. 10мл №1</t>
  </si>
  <si>
    <t>метронідазол- Новофарм; амоксил-К; моксимак; азитроміцин-Фармекс; метоклопрамід у гідрохлорид; дексаметазон-Дарниця; медопенем; муколван; парацетамол- Дарниця; магнію сульфат; натрію хлорид; бетадин</t>
  </si>
  <si>
    <t>моксимак р-н; флуконазол 0,2%; бліцеф; блімол р-н; амоксил-К; дексаметазон</t>
  </si>
  <si>
    <t>молоко; масло; сир твердий; сметана</t>
  </si>
  <si>
    <t>морфін г/хл 1% 1,0; фентаніл 0,005% 2,0</t>
  </si>
  <si>
    <t>муколван 0,75% 2 мл №5; дексаметазон-Дарниця 4 мг/мл 1 мл №10</t>
  </si>
  <si>
    <t>набір для ІФА DIA-SARS-CoV-2-NP-LgM T1-12 T1-26M01C, 192 (8*12*2); набір для ІФА DIA-SARS-CoV-2-NP-LgG T1-12 T1-26G01C, 192 (8*12)</t>
  </si>
  <si>
    <t>набір для ІФА DIA-SARS-CoV-2-NP-LgM T1-12 T1-26M01C, 96 (8*12*2); набір для ІФА DIA-SARS-CoV-2-NP-LgG T1-12 T1-26G01C, 96 (8*12)</t>
  </si>
  <si>
    <t>натрію хлорид р-н 0,9%; меропенем 1г пор. д/п ін розчину №1; медоклав пор. д/розч. д/ін фл 1,2 г №10; медаксон 1г №10 фл; лазолван 15 мг 2 мл №10 амп; клексан 8000 МЩ шприц 0,8 мл. №2; клексан 4000 МЩ шприц 0,4 мл. №10; клексан розчин д/ін 8000 анти-Ха МО/0,8 мл, шприц-доза №2; європенем порошок д/ін 500 мг №10; гепарин розчин д/ін 5000 МО/мл 5 мл №5; бліцеф порошок д/інф 1г №10</t>
  </si>
  <si>
    <t>натрію хлорид р-н д/інф. 0,9% 200 мл.; натрію хлорид р-н д/інф. 0,9% 100 мл; медоклав пор. д/р-ну д/ін фл 1,2г №10; дексаметазон-Дарниця р-н д/ін 4 мг/1мл №10; амоксил-К пор. д/п ін. р-ну 1,2г №1</t>
  </si>
  <si>
    <t>натрію хлорид р-н д/інф. 0,9% 200 мл; Левопро р-н д/інф. 500 мг 150 мл №1; Левопро р-н д/інф. 500 мг 100 мл №1</t>
  </si>
  <si>
    <t>од ДК 021:2015-15800000-6 Продукти харчування різні (хліб 0,6кг)</t>
  </si>
  <si>
    <t>од ДК 021:2015-39330000-4 Дезінфекційне обладнання (аерозольний генератор холодного туману ULV Fogger Bure)</t>
  </si>
  <si>
    <t>персен-форте №20 капс</t>
  </si>
  <si>
    <t>продукти харчування різні</t>
  </si>
  <si>
    <t>півмаска фільтрувальна БУК-КЗ FFP3 NR, рукавиці оглядові нітрилові нестерильні Нітролекс блек неприпудрені (р.L,S,M)); рукавиці оглядові нітрилові нестерильні Нітролекс блек неприпудрені (р.L,S,M)</t>
  </si>
  <si>
    <t>реагенти (набори реагентів) для визначення рівня прокальцитоніну; реагенти (набори реагентів) для визначення рівня Д-димеру; реагенти (набори реагентів) для визначення рівня Д-димеру (контроль)</t>
  </si>
  <si>
    <t>реосорбілакт р-н; ксарелто табл.</t>
  </si>
  <si>
    <t>рукавички оглядові нітрилові нестерильні Irap розмір L (8-9), пара неприпудр. №1, ; рукавички оглядові нітрилові нестерильні Irap розмір S (6-7), пара неприпудр. №1;  рукавички оглядові нітрилові нестерильні Irap розмір M (7-8), пара неприпудр. №1</t>
  </si>
  <si>
    <t>сечоприймач зі зливним клапаном  і трубкою 90 см 2000мл;  шапочка-берет мед. н/ст (спанбонд-13г/м2) 1220101</t>
  </si>
  <si>
    <t>синьочутлива медична рентгенівська плівка загального призначення 30*40 см №100; проявник для ручної обробки рентгенівської плівки в каністрах по 5л (на 25л. розчину)</t>
  </si>
  <si>
    <t>система для в/в вливань ПР;  катетер (канюля) в/в з інєкц. портом G20 стерильна;  катетер (канюля) в/в з інєкц. портом G22 стерильна;  катетер (канюля) в/в з інєкц. портом G24 стерильна; катетер (канюля) в/в типу "метелик" 23G однораз. використання</t>
  </si>
  <si>
    <t>спирт етиловий 70% р-н д/зовн. застос. 70% фл. 100 мл №1; спирт етиловий 96% р-н д/зовн. застос. 96% фл. 100 мл №1</t>
  </si>
  <si>
    <t>спирт етиловий 70% р-н д/зовн. застосуван. 70% фл. 100 мл, №1; спирт етиловий 96% р-н д/зовн. застосуван. 96% фл. 100 мл, №1</t>
  </si>
  <si>
    <t>спирт етиловий 96%; спирт етиловий 70%; бетадине р-н 10%</t>
  </si>
  <si>
    <t>спирт етиловий р-н 96%; септил р-н 70%; метоклопрамід-Д р-н д/ін 0,5%; магнію сульфат р-н д/ін 25%; кальцію глюконат-Дарниця р-н д/ін 10%</t>
  </si>
  <si>
    <t>фармасулін Н р-н д/ін, 100 МО/мл 5 мл №1; фармасулін Н р-н д/ін, 100 МО/мл 10 мл №1; дексаметазон - Дарниця р-н д/ін 4 мг/мл 1 мл №10; дексаметазон - Дарниця р-н д/ін 0,4 % мл №5</t>
  </si>
  <si>
    <t xml:space="preserve">фленокс р-н д/ін 10000 МЕ анти-Ха/мл шприц 0,4 мл, блістер №10;  фленокс р-н д/ін 10000 МЕ анти-Ха/мл шприц 0,8 мл, блістер №2 </t>
  </si>
  <si>
    <t>флуконазол 0,2%; сода-буфер р-н д/ін; парацетамол ; муколван 0,75%; метоклопрамід-Д 0,5%; магнію сульфат 25%; клексан ; європенем; гепарин; блімол; амоксиклав</t>
  </si>
  <si>
    <t>флуконазол 0,2%; фармасулін Н р-н д/ін 100 мо/мл; рінгера р-н 200мл; омепразол-Тева капс 20 мг; омез пор. 40 мг; натрію хлорид р-н 0,9%; метронідазол р-н д/інф. 5 мг/мл; метресса р-н д/ін. 500мг/100мл; метоклопрамід-Д 0,5% 2 мл.; меропенем 1г пор. д/ін; клексан 8000МО шприц 0,8мл,; клексан 8000МО шприц 0,4мл; кваметел 20мг 5 мл амп/з розчин.; європенем пор. д/п ін 1г; дексаметазон-Дарниця 4мг/мл 1мл; азитроміцин</t>
  </si>
  <si>
    <t>фромілід-Уно; тіаміну хлорид 5%; рибоксин 2%; піридоксину г/х 5%; папаверин р-н; пангастро;  ніфуроксазид  ; натрію хлорид 0,9%; муцитус; мурашиний спирт;  корвалол; кокарбоксилаза; єврозидим порошок для інгаляцій; еуфілін  ; етамзилат 12,5%; димедрол 1%; диклофенак натрію 2,5%; дигоксин 0,025% гідазепам,; дибазол 1%; гепацеф Комбі; гідазепам; вугілля активоване; вікасол-Д; верапамілу г/х 0,25%,; бензогексоній 2,5%; аскорбінова кис-та 10%; анальгій р-н д/ін 50%,; амінокапронова кис-та 5%; L-лізину есцинат 0,1%</t>
  </si>
  <si>
    <t>фромілід-Уно; флюанксол; сульфокамфокаїн 10%; перекись водню 3%; папаверин р-н д/іфн; муцитус капс 300мг; лефлок р-н;  йод -Вішра р-н спирт 5%; золофт 50мг; діамант. зелен. р-н спирт 1%; дибазол 1%; аміаку р-н 10%; азитроміцин пор д/інф.</t>
  </si>
  <si>
    <t>фуросемід 1%; флуконазол 0,2%; парацетамол ; омепразол лиоф; муколван 0,75%; лідокаїн 2%; амоксиклав</t>
  </si>
  <si>
    <t>фуросемід р-н д/ін 1% 2 мл №10; спирт етиловий р-н 96% 100 мл; спирт етиловий р-н 70% 100 мл; муколван р-н д/ін 0,75% 2мл №5; метронідазол р-н д/інф. 0,5% 100мл; медаксон пор. 1г №10;  магнію сульфат р-н д/ін 25% 5 мл №10; кордарон р-н д/ін 3 мл №6; клексан р-н д/ін 8000 МО шприц 0,8 мл №2; гепарин р-н д/ін 5000 ОД 5 мл №5; блімол р-н д/інф. 10мг/мл 100 мл</t>
  </si>
  <si>
    <t>фуросемід р-н д/ін 1% 2 мл №10; фармасулін Н р-н д/ін 100МО/мл 10 мл №1; спирт етиловий р-н 96% 100 мл; спирт етиловий р-н 70% 100 мл; муколван р-н д/ін 0,75% 2 мл №5; моксимак р-н д/інф. 400 мл/250 мл; метронідазол р-н д/інф. 0,5% 100 мл; меропенем пор. д/п ін. р-ну 1г №1; медоклав пор.д/п ін. р-ну фл. 1,2 г №10; медаксон пор. 1г №10; магнію сульфат р-н д/ін. 25% 5 мл №10 ; демопенем пор. д/п ін. р-ну 1000 мг №1; дексаметазон-Дарниця р-н д/ін1. 4 мг/мл №10; дексаметазон-Дарниця р-н д/ін0,4% 1мл №5; гепарин р-н д/ін. 5000 ОД 5 мл №5; блімол р-н д/інф 10мг/мл 100 мл; арікстра р-н д/ін 7,5 мг/0,6 мл №10; амоксил-К пор. д/п ін. р-ну 1,2г №1 ; меленам пор. д/п р-ну д/ін. 1г №1</t>
  </si>
  <si>
    <t>фуросемід р-н д/ін 1%; фармасулін Н р-н д/ін 100МО/мл; спирт етиловий р-н 96%; муколван р-н д/ін 0,75%; меропенем пор. д/п ін. р-ну 1г,; медаксон пор. 1г; магнію сульфат р-н д/ін 25%; лінезолідін 2мг/мл р-н д/інф; клексан р-н д/ін 8000 МО шприц 0,8 мл;  клексан р-н д/ін 4000 МО шприц 0,4 мл; європенем пор. д/ін 500 мг; дексаметазон-Дарниця р-н д/ін 4мг/1мл; блімол р-н д/інф 10мг/мл; амоксиклав пор. д/п р-ну 1200мг; демопенем пор. д/п ін р-ну 1000 мг</t>
  </si>
  <si>
    <t>цефтріаксон пор. д/ін; дексаметазон р-н д/ін ; фленокс р-н д/ін; медоклав ; медаксон пор. д/ін ; медопенем пор. д/ін; лінезолід інф; онтазен-1000 пор. д/ін,; моксимак р-н д/інф;  флукап</t>
  </si>
  <si>
    <t>цефтріаксон; дексаметазон; меленам; азимед; фленокс; тіаміну хлорид; муколван; сельтавір; моксимак; медопенем; медоклав; натрія аденозитрифосфат; гемотран</t>
  </si>
  <si>
    <t>шапочка-берет мед. н/ст., №100 шт. (спанбонд); ємність-контейнер для забору сечі ст. 120 мл</t>
  </si>
  <si>
    <t>шприц  10 мл №1; шприц ін'єкційний 3-х компонентний Алекс-фарм 10 мл,  голка 21 G (0,8*40 мм) №1; шприц ін'єкційний 3-х компонентний Алекс-фарм 2 мл, голка 23 G (0,6*30 мм) №1; шприц ін'єкційний 3-х компонентний Алекс-фарм 20 мл, голка 21 G (0,8*40 мм) №1; шприц ін'єкційний 3-х компонентний Алекс-фарм 5 мл, голка 22 G (0,7*40 мм) №1; шприц  інсуліновий 3-х компонентний Алекс-фарм U-100 1 мл, голка 30 G (0,3*13 мм) №1</t>
  </si>
  <si>
    <t>шприц одноразовий з голкою 5 мл; шприц одноразовий з голкою 10 мл; шприц одноразовий з голкою 20 мл</t>
  </si>
  <si>
    <t>європенем пор. д/ін 500 мг №10; клексан р-н д/ін 8000 МО шприц 0,8мл №2</t>
  </si>
  <si>
    <t>європенем пор. д/ін. 500 мг №10; дексаметазон-Дарниця р-н  д/ін 0,4% 1 мл №5; дексаметазон-Дарниця р-н д/ін. 4 мг/мл 1 мл №10</t>
  </si>
  <si>
    <t>ємність для відбору зразків крові, вакуумна стерильна, 5 мл з цитратомнатрію, №100; ємність для відбору зразків крові, вакуумна стерильна 13*75, без наповнбвача, №100; ємність для відбору зразків крові, вакуумна, стерильна, 200 мкл, з КЗЕДТА, №20</t>
  </si>
  <si>
    <t>інфулган розчин для інфузій 10 мг/мл по 100 мл; натрію хлорид розчин для інфузій 9 мг/мл по 100 мл; натрію хлорид розчин для інфузій 9 мг/мл по 200 мл;  розчин Рінгера лактатний розчин для інфузій  по 200 мл; розчин Рінгера  розчин для інфузій  по 200 мл</t>
  </si>
  <si>
    <t>№</t>
  </si>
</sst>
</file>

<file path=xl/styles.xml><?xml version="1.0" encoding="utf-8"?>
<styleSheet xmlns="http://schemas.openxmlformats.org/spreadsheetml/2006/main">
  <numFmts count="2">
    <numFmt numFmtId="165" formatCode="yyyy-mm-dd"/>
    <numFmt numFmtId="166" formatCode="dd.mm.yyyy"/>
  </numFmts>
  <fonts count="4">
    <font>
      <sz val="11"/>
      <color theme="1"/>
      <name val="Calibri"/>
      <family val="2"/>
      <scheme val="minor"/>
    </font>
    <font>
      <sz val="10.0"/>
      <color rgb="00000000"/>
      <name val="Calibri"/>
      <family val="2"/>
    </font>
    <font>
      <sz val="10.0"/>
      <color rgb="0000FF"/>
      <name val="Calibri"/>
      <family val="2"/>
    </font>
    <font>
      <sz val="10.0"/>
      <color rgb="FFFFFF"/>
      <name val="Calibri"/>
      <family val="2"/>
      <b/>
    </font>
  </fonts>
  <fills count="3">
    <fill>
      <patternFill patternType="none"/>
    </fill>
    <fill>
      <patternFill patternType="gray125"/>
    </fill>
    <fill>
      <patternFill patternType="solid">
        <fgColor rgb="008000"/>
      </patternFill>
    </fill>
  </fills>
  <borders count="2">
    <border>
      <left/>
      <right/>
      <top/>
      <bottom/>
      <diagonal/>
    </border>
    <border>
      <left style="medium">
        <color rgb="FFFFFF"/>
      </left>
      <right style="medium">
        <color rgb="FFFFFF"/>
      </right>
      <top style="medium">
        <color rgb="FFFFFF"/>
      </top>
      <bottom style="medium">
        <color rgb="FFFFFF"/>
      </bottom>
      <diagonal/>
    </border>
  </borders>
  <cellStyleXfs count="1">
    <xf numFmtId="0" fontId="0" fillId="0" borderId="0"/>
  </cellStyleXfs>
  <cellXfs count="9">
    <xf numFmtId="0" fontId="0" fillId="0" xfId="0" borderId="0"/>
    <xf numFmtId="0" fontId="1" fillId="0" xfId="0" borderId="0" applyFont="1"/>
    <xf numFmtId="0" fontId="2" fillId="0" xfId="0" borderId="0" applyFont="1"/>
    <xf numFmtId="0" fontId="3" fillId="2" xfId="0" borderId="1" applyFont="1" applyBorder="1" applyFill="1" applyAlignment="1">
      <alignment horizontal="center" wrapText="1"/>
    </xf>
    <xf numFmtId="1" fontId="1" fillId="0" xfId="0" borderId="0" applyFont="1" applyNumberFormat="1"/>
    <xf numFmtId="4" fontId="1" fillId="0" xfId="0" borderId="0" applyFont="1" applyNumberFormat="1"/>
    <xf numFmtId="165" fontId="0" fillId="0" xfId="0" borderId="0" applyNumberFormat="1"/>
    <xf numFmtId="166" fontId="1" fillId="0" xfId="0" borderId="0" applyFont="1" applyNumberFormat="1"/>
  </cellXfs>
  <cellStyles count="1">
    <cellStyle name="Normal" xfId="0" builtinId="0"/>
  </cellStyles>
  <dxfs count="0"/>
  <tableStyles count="0" defaultTableStyle="TableStyleMedium9" defaultPivotStyle="PivotStyleLight16"/>
</styleSheet>
</file>

<file path=xl/_rels/workbook.xml.rels><ns0:Relationships xmlns:ns0="http://schemas.openxmlformats.org/package/2006/relationships">
  <ns0:Relationship Id="rId1" Target="worksheets/sheet1.xml" Type="http://schemas.openxmlformats.org/officeDocument/2006/relationships/worksheet"/>
  <ns0:Relationship Id="rId2" Target="sharedStrings.xml" Type="http://schemas.openxmlformats.org/officeDocument/2006/relationships/sharedStrings"/>
  <ns0:Relationship Id="rId3" Target="styles.xml" Type="http://schemas.openxmlformats.org/officeDocument/2006/relationships/styles"/>
  <ns0:Relationship Id="rId4" Target="theme/theme1.xml" Type="http://schemas.openxmlformats.org/officeDocument/2006/relationships/theme"/>
</ns0: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ns0:Relationships xmlns:ns0="http://schemas.openxmlformats.org/package/2006/relationships">
  <ns0:Relationship Id="rId1" Type="http://schemas.openxmlformats.org/officeDocument/2006/relationships/hyperlink" Target="mailto:report.zakupki@prom.ua" TargetMode="External"/>
  <ns0:Relationship Id="rId2" Type="http://schemas.openxmlformats.org/officeDocument/2006/relationships/hyperlink" Target="https://my.zakupki.prom.ua/remote/dispatcher/state_purchase_view/16239609" TargetMode="External"/>
  <ns0:Relationship Id="rId3" Type="http://schemas.openxmlformats.org/officeDocument/2006/relationships/hyperlink" Target="https://my.zakupki.prom.ua/remote/dispatcher/state_contracting_view/4098373" TargetMode="External"/>
  <ns0:Relationship Id="rId4" Type="http://schemas.openxmlformats.org/officeDocument/2006/relationships/hyperlink" Target="https://my.zakupki.prom.ua/remote/dispatcher/state_purchase_view/15106387" TargetMode="External"/>
  <ns0:Relationship Id="rId5" Type="http://schemas.openxmlformats.org/officeDocument/2006/relationships/hyperlink" Target="https://my.zakupki.prom.ua/remote/dispatcher/state_contracting_view/3754610" TargetMode="External"/>
  <ns0:Relationship Id="rId6" Type="http://schemas.openxmlformats.org/officeDocument/2006/relationships/hyperlink" Target="https://my.zakupki.prom.ua/remote/dispatcher/state_purchase_view/15580751" TargetMode="External"/>
  <ns0:Relationship Id="rId7" Type="http://schemas.openxmlformats.org/officeDocument/2006/relationships/hyperlink" Target="https://my.zakupki.prom.ua/remote/dispatcher/state_contracting_view/3883410" TargetMode="External"/>
  <ns0:Relationship Id="rId8" Type="http://schemas.openxmlformats.org/officeDocument/2006/relationships/hyperlink" Target="https://my.zakupki.prom.ua/remote/dispatcher/state_purchase_view/15696579" TargetMode="External"/>
  <ns0:Relationship Id="rId9" Type="http://schemas.openxmlformats.org/officeDocument/2006/relationships/hyperlink" Target="https://my.zakupki.prom.ua/remote/dispatcher/state_contracting_view/3918094" TargetMode="External"/>
  <ns0:Relationship Id="rId10" Type="http://schemas.openxmlformats.org/officeDocument/2006/relationships/hyperlink" Target="https://my.zakupki.prom.ua/remote/dispatcher/state_purchase_view/15694669" TargetMode="External"/>
  <ns0:Relationship Id="rId11" Type="http://schemas.openxmlformats.org/officeDocument/2006/relationships/hyperlink" Target="https://my.zakupki.prom.ua/remote/dispatcher/state_contracting_view/3917480" TargetMode="External"/>
  <ns0:Relationship Id="rId12" Type="http://schemas.openxmlformats.org/officeDocument/2006/relationships/hyperlink" Target="https://my.zakupki.prom.ua/remote/dispatcher/state_purchase_view/18275465" TargetMode="External"/>
  <ns0:Relationship Id="rId13" Type="http://schemas.openxmlformats.org/officeDocument/2006/relationships/hyperlink" Target="https://my.zakupki.prom.ua/remote/dispatcher/state_contracting_view/5013981" TargetMode="External"/>
  <ns0:Relationship Id="rId14" Type="http://schemas.openxmlformats.org/officeDocument/2006/relationships/hyperlink" Target="https://my.zakupki.prom.ua/remote/dispatcher/state_purchase_view/18196149" TargetMode="External"/>
  <ns0:Relationship Id="rId15" Type="http://schemas.openxmlformats.org/officeDocument/2006/relationships/hyperlink" Target="https://my.zakupki.prom.ua/remote/dispatcher/state_contracting_view/4978180" TargetMode="External"/>
  <ns0:Relationship Id="rId16" Type="http://schemas.openxmlformats.org/officeDocument/2006/relationships/hyperlink" Target="https://my.zakupki.prom.ua/remote/dispatcher/state_purchase_view/18128125" TargetMode="External"/>
  <ns0:Relationship Id="rId17" Type="http://schemas.openxmlformats.org/officeDocument/2006/relationships/hyperlink" Target="https://my.zakupki.prom.ua/remote/dispatcher/state_contracting_view/5003262" TargetMode="External"/>
  <ns0:Relationship Id="rId18" Type="http://schemas.openxmlformats.org/officeDocument/2006/relationships/hyperlink" Target="https://my.zakupki.prom.ua/remote/dispatcher/state_purchase_view/18365048" TargetMode="External"/>
  <ns0:Relationship Id="rId19" Type="http://schemas.openxmlformats.org/officeDocument/2006/relationships/hyperlink" Target="https://my.zakupki.prom.ua/remote/dispatcher/state_contracting_view/5055272" TargetMode="External"/>
  <ns0:Relationship Id="rId20" Type="http://schemas.openxmlformats.org/officeDocument/2006/relationships/hyperlink" Target="https://my.zakupki.prom.ua/remote/dispatcher/state_purchase_view/18475580" TargetMode="External"/>
  <ns0:Relationship Id="rId21" Type="http://schemas.openxmlformats.org/officeDocument/2006/relationships/hyperlink" Target="https://my.zakupki.prom.ua/remote/dispatcher/state_contracting_view/5107295" TargetMode="External"/>
  <ns0:Relationship Id="rId22" Type="http://schemas.openxmlformats.org/officeDocument/2006/relationships/hyperlink" Target="https://my.zakupki.prom.ua/remote/dispatcher/state_purchase_view/18487867" TargetMode="External"/>
  <ns0:Relationship Id="rId23" Type="http://schemas.openxmlformats.org/officeDocument/2006/relationships/hyperlink" Target="https://my.zakupki.prom.ua/remote/dispatcher/state_contracting_view/5113157" TargetMode="External"/>
  <ns0:Relationship Id="rId24" Type="http://schemas.openxmlformats.org/officeDocument/2006/relationships/hyperlink" Target="https://my.zakupki.prom.ua/remote/dispatcher/state_purchase_view/18351036" TargetMode="External"/>
  <ns0:Relationship Id="rId25" Type="http://schemas.openxmlformats.org/officeDocument/2006/relationships/hyperlink" Target="https://my.zakupki.prom.ua/remote/dispatcher/state_contracting_view/5113179" TargetMode="External"/>
  <ns0:Relationship Id="rId26" Type="http://schemas.openxmlformats.org/officeDocument/2006/relationships/hyperlink" Target="https://my.zakupki.prom.ua/remote/dispatcher/state_purchase_view/17035510" TargetMode="External"/>
  <ns0:Relationship Id="rId27" Type="http://schemas.openxmlformats.org/officeDocument/2006/relationships/hyperlink" Target="https://my.zakupki.prom.ua/remote/dispatcher/state_contracting_view/4439009" TargetMode="External"/>
  <ns0:Relationship Id="rId28" Type="http://schemas.openxmlformats.org/officeDocument/2006/relationships/hyperlink" Target="https://my.zakupki.prom.ua/remote/dispatcher/state_purchase_view/16489420" TargetMode="External"/>
  <ns0:Relationship Id="rId29" Type="http://schemas.openxmlformats.org/officeDocument/2006/relationships/hyperlink" Target="https://my.zakupki.prom.ua/remote/dispatcher/state_contracting_view/4196660" TargetMode="External"/>
  <ns0:Relationship Id="rId30" Type="http://schemas.openxmlformats.org/officeDocument/2006/relationships/hyperlink" Target="https://my.zakupki.prom.ua/remote/dispatcher/state_purchase_view/19321397" TargetMode="External"/>
  <ns0:Relationship Id="rId31" Type="http://schemas.openxmlformats.org/officeDocument/2006/relationships/hyperlink" Target="https://my.zakupki.prom.ua/remote/dispatcher/state_contracting_view/5508484" TargetMode="External"/>
  <ns0:Relationship Id="rId32" Type="http://schemas.openxmlformats.org/officeDocument/2006/relationships/hyperlink" Target="https://my.zakupki.prom.ua/remote/dispatcher/state_purchase_view/19351348" TargetMode="External"/>
  <ns0:Relationship Id="rId33" Type="http://schemas.openxmlformats.org/officeDocument/2006/relationships/hyperlink" Target="https://my.zakupki.prom.ua/remote/dispatcher/state_contracting_view/5522348" TargetMode="External"/>
  <ns0:Relationship Id="rId34" Type="http://schemas.openxmlformats.org/officeDocument/2006/relationships/hyperlink" Target="https://my.zakupki.prom.ua/remote/dispatcher/state_purchase_view/19063008" TargetMode="External"/>
  <ns0:Relationship Id="rId35" Type="http://schemas.openxmlformats.org/officeDocument/2006/relationships/hyperlink" Target="https://my.zakupki.prom.ua/remote/dispatcher/state_contracting_view/5385995" TargetMode="External"/>
  <ns0:Relationship Id="rId36" Type="http://schemas.openxmlformats.org/officeDocument/2006/relationships/hyperlink" Target="https://my.zakupki.prom.ua/remote/dispatcher/state_purchase_view/19219497" TargetMode="External"/>
  <ns0:Relationship Id="rId37" Type="http://schemas.openxmlformats.org/officeDocument/2006/relationships/hyperlink" Target="https://my.zakupki.prom.ua/remote/dispatcher/state_contracting_view/5459643" TargetMode="External"/>
  <ns0:Relationship Id="rId38" Type="http://schemas.openxmlformats.org/officeDocument/2006/relationships/hyperlink" Target="https://my.zakupki.prom.ua/remote/dispatcher/state_purchase_view/19230854" TargetMode="External"/>
  <ns0:Relationship Id="rId39" Type="http://schemas.openxmlformats.org/officeDocument/2006/relationships/hyperlink" Target="https://my.zakupki.prom.ua/remote/dispatcher/state_contracting_view/5465490" TargetMode="External"/>
  <ns0:Relationship Id="rId40" Type="http://schemas.openxmlformats.org/officeDocument/2006/relationships/hyperlink" Target="https://my.zakupki.prom.ua/remote/dispatcher/state_purchase_view/19119515" TargetMode="External"/>
  <ns0:Relationship Id="rId41" Type="http://schemas.openxmlformats.org/officeDocument/2006/relationships/hyperlink" Target="https://my.zakupki.prom.ua/remote/dispatcher/state_contracting_view/5412356" TargetMode="External"/>
  <ns0:Relationship Id="rId42" Type="http://schemas.openxmlformats.org/officeDocument/2006/relationships/hyperlink" Target="https://my.zakupki.prom.ua/remote/dispatcher/state_purchase_view/19424999" TargetMode="External"/>
  <ns0:Relationship Id="rId43" Type="http://schemas.openxmlformats.org/officeDocument/2006/relationships/hyperlink" Target="https://my.zakupki.prom.ua/remote/dispatcher/state_contracting_view/5557485" TargetMode="External"/>
  <ns0:Relationship Id="rId44" Type="http://schemas.openxmlformats.org/officeDocument/2006/relationships/hyperlink" Target="https://my.zakupki.prom.ua/remote/dispatcher/state_purchase_view/19426435" TargetMode="External"/>
  <ns0:Relationship Id="rId45" Type="http://schemas.openxmlformats.org/officeDocument/2006/relationships/hyperlink" Target="https://my.zakupki.prom.ua/remote/dispatcher/state_contracting_view/5558426" TargetMode="External"/>
  <ns0:Relationship Id="rId46" Type="http://schemas.openxmlformats.org/officeDocument/2006/relationships/hyperlink" Target="https://my.zakupki.prom.ua/remote/dispatcher/state_purchase_view/19196855" TargetMode="External"/>
  <ns0:Relationship Id="rId47" Type="http://schemas.openxmlformats.org/officeDocument/2006/relationships/hyperlink" Target="https://my.zakupki.prom.ua/remote/dispatcher/state_contracting_view/5448911" TargetMode="External"/>
  <ns0:Relationship Id="rId48" Type="http://schemas.openxmlformats.org/officeDocument/2006/relationships/hyperlink" Target="https://my.zakupki.prom.ua/remote/dispatcher/state_purchase_view/19635918" TargetMode="External"/>
  <ns0:Relationship Id="rId49" Type="http://schemas.openxmlformats.org/officeDocument/2006/relationships/hyperlink" Target="https://my.zakupki.prom.ua/remote/dispatcher/state_contracting_view/5658932" TargetMode="External"/>
  <ns0:Relationship Id="rId50" Type="http://schemas.openxmlformats.org/officeDocument/2006/relationships/hyperlink" Target="https://my.zakupki.prom.ua/remote/dispatcher/state_purchase_view/18395448" TargetMode="External"/>
  <ns0:Relationship Id="rId51" Type="http://schemas.openxmlformats.org/officeDocument/2006/relationships/hyperlink" Target="https://my.zakupki.prom.ua/remote/dispatcher/state_contracting_view/5069953" TargetMode="External"/>
  <ns0:Relationship Id="rId52" Type="http://schemas.openxmlformats.org/officeDocument/2006/relationships/hyperlink" Target="https://my.zakupki.prom.ua/remote/dispatcher/state_purchase_view/18846776" TargetMode="External"/>
  <ns0:Relationship Id="rId53" Type="http://schemas.openxmlformats.org/officeDocument/2006/relationships/hyperlink" Target="https://my.zakupki.prom.ua/remote/dispatcher/state_contracting_view/5284613" TargetMode="External"/>
  <ns0:Relationship Id="rId54" Type="http://schemas.openxmlformats.org/officeDocument/2006/relationships/hyperlink" Target="https://my.zakupki.prom.ua/remote/dispatcher/state_purchase_view/18616369" TargetMode="External"/>
  <ns0:Relationship Id="rId55" Type="http://schemas.openxmlformats.org/officeDocument/2006/relationships/hyperlink" Target="https://my.zakupki.prom.ua/remote/dispatcher/state_contracting_view/5173455" TargetMode="External"/>
  <ns0:Relationship Id="rId56" Type="http://schemas.openxmlformats.org/officeDocument/2006/relationships/hyperlink" Target="https://my.zakupki.prom.ua/remote/dispatcher/state_purchase_view/18650055" TargetMode="External"/>
  <ns0:Relationship Id="rId57" Type="http://schemas.openxmlformats.org/officeDocument/2006/relationships/hyperlink" Target="https://my.zakupki.prom.ua/remote/dispatcher/state_contracting_view/5189264" TargetMode="External"/>
  <ns0:Relationship Id="rId58" Type="http://schemas.openxmlformats.org/officeDocument/2006/relationships/hyperlink" Target="https://my.zakupki.prom.ua/remote/dispatcher/state_purchase_view/18934869" TargetMode="External"/>
  <ns0:Relationship Id="rId59" Type="http://schemas.openxmlformats.org/officeDocument/2006/relationships/hyperlink" Target="https://my.zakupki.prom.ua/remote/dispatcher/state_contracting_view/5328539" TargetMode="External"/>
  <ns0:Relationship Id="rId60" Type="http://schemas.openxmlformats.org/officeDocument/2006/relationships/hyperlink" Target="https://my.zakupki.prom.ua/remote/dispatcher/state_purchase_view/18791784" TargetMode="External"/>
  <ns0:Relationship Id="rId61" Type="http://schemas.openxmlformats.org/officeDocument/2006/relationships/hyperlink" Target="https://my.zakupki.prom.ua/remote/dispatcher/state_contracting_view/5258072" TargetMode="External"/>
  <ns0:Relationship Id="rId62" Type="http://schemas.openxmlformats.org/officeDocument/2006/relationships/hyperlink" Target="https://my.zakupki.prom.ua/remote/dispatcher/state_purchase_view/16297569" TargetMode="External"/>
  <ns0:Relationship Id="rId63" Type="http://schemas.openxmlformats.org/officeDocument/2006/relationships/hyperlink" Target="https://my.zakupki.prom.ua/remote/dispatcher/state_contracting_view/4121175" TargetMode="External"/>
  <ns0:Relationship Id="rId64" Type="http://schemas.openxmlformats.org/officeDocument/2006/relationships/hyperlink" Target="https://my.zakupki.prom.ua/remote/dispatcher/state_purchase_view/17227175" TargetMode="External"/>
  <ns0:Relationship Id="rId65" Type="http://schemas.openxmlformats.org/officeDocument/2006/relationships/hyperlink" Target="https://my.zakupki.prom.ua/remote/dispatcher/state_contracting_view/4526944" TargetMode="External"/>
  <ns0:Relationship Id="rId66" Type="http://schemas.openxmlformats.org/officeDocument/2006/relationships/hyperlink" Target="https://my.zakupki.prom.ua/remote/dispatcher/state_purchase_view/17126823" TargetMode="External"/>
  <ns0:Relationship Id="rId67" Type="http://schemas.openxmlformats.org/officeDocument/2006/relationships/hyperlink" Target="https://my.zakupki.prom.ua/remote/dispatcher/state_contracting_view/4481060" TargetMode="External"/>
  <ns0:Relationship Id="rId68" Type="http://schemas.openxmlformats.org/officeDocument/2006/relationships/hyperlink" Target="https://my.zakupki.prom.ua/remote/dispatcher/state_purchase_view/17126886" TargetMode="External"/>
  <ns0:Relationship Id="rId69" Type="http://schemas.openxmlformats.org/officeDocument/2006/relationships/hyperlink" Target="https://my.zakupki.prom.ua/remote/dispatcher/state_contracting_view/4481102" TargetMode="External"/>
  <ns0:Relationship Id="rId70" Type="http://schemas.openxmlformats.org/officeDocument/2006/relationships/hyperlink" Target="https://my.zakupki.prom.ua/remote/dispatcher/state_purchase_view/20025790" TargetMode="External"/>
  <ns0:Relationship Id="rId71" Type="http://schemas.openxmlformats.org/officeDocument/2006/relationships/hyperlink" Target="https://my.zakupki.prom.ua/remote/dispatcher/state_contracting_view/5839575" TargetMode="External"/>
  <ns0:Relationship Id="rId72" Type="http://schemas.openxmlformats.org/officeDocument/2006/relationships/hyperlink" Target="https://my.zakupki.prom.ua/remote/dispatcher/state_purchase_view/18031429" TargetMode="External"/>
  <ns0:Relationship Id="rId73" Type="http://schemas.openxmlformats.org/officeDocument/2006/relationships/hyperlink" Target="https://my.zakupki.prom.ua/remote/dispatcher/state_contracting_view/4900412" TargetMode="External"/>
  <ns0:Relationship Id="rId74" Type="http://schemas.openxmlformats.org/officeDocument/2006/relationships/hyperlink" Target="https://my.zakupki.prom.ua/remote/dispatcher/state_purchase_view/17890008" TargetMode="External"/>
  <ns0:Relationship Id="rId75" Type="http://schemas.openxmlformats.org/officeDocument/2006/relationships/hyperlink" Target="https://my.zakupki.prom.ua/remote/dispatcher/state_contracting_view/4834455" TargetMode="External"/>
  <ns0:Relationship Id="rId76" Type="http://schemas.openxmlformats.org/officeDocument/2006/relationships/hyperlink" Target="https://my.zakupki.prom.ua/remote/dispatcher/state_purchase_view/17888201" TargetMode="External"/>
  <ns0:Relationship Id="rId77" Type="http://schemas.openxmlformats.org/officeDocument/2006/relationships/hyperlink" Target="https://my.zakupki.prom.ua/remote/dispatcher/state_contracting_view/4833305" TargetMode="External"/>
  <ns0:Relationship Id="rId78" Type="http://schemas.openxmlformats.org/officeDocument/2006/relationships/hyperlink" Target="https://my.zakupki.prom.ua/remote/dispatcher/state_purchase_view/17966536" TargetMode="External"/>
  <ns0:Relationship Id="rId79" Type="http://schemas.openxmlformats.org/officeDocument/2006/relationships/hyperlink" Target="https://my.zakupki.prom.ua/remote/dispatcher/state_contracting_view/4869607" TargetMode="External"/>
  <ns0:Relationship Id="rId80" Type="http://schemas.openxmlformats.org/officeDocument/2006/relationships/hyperlink" Target="https://my.zakupki.prom.ua/remote/dispatcher/state_purchase_view/18027973" TargetMode="External"/>
  <ns0:Relationship Id="rId81" Type="http://schemas.openxmlformats.org/officeDocument/2006/relationships/hyperlink" Target="https://my.zakupki.prom.ua/remote/dispatcher/state_contracting_view/4898886" TargetMode="External"/>
  <ns0:Relationship Id="rId82" Type="http://schemas.openxmlformats.org/officeDocument/2006/relationships/hyperlink" Target="https://my.zakupki.prom.ua/remote/dispatcher/state_purchase_view/17700984" TargetMode="External"/>
  <ns0:Relationship Id="rId83" Type="http://schemas.openxmlformats.org/officeDocument/2006/relationships/hyperlink" Target="https://my.zakupki.prom.ua/remote/dispatcher/state_contracting_view/4746425" TargetMode="External"/>
  <ns0:Relationship Id="rId84" Type="http://schemas.openxmlformats.org/officeDocument/2006/relationships/hyperlink" Target="https://my.zakupki.prom.ua/remote/dispatcher/state_purchase_view/17775022" TargetMode="External"/>
  <ns0:Relationship Id="rId85" Type="http://schemas.openxmlformats.org/officeDocument/2006/relationships/hyperlink" Target="https://my.zakupki.prom.ua/remote/dispatcher/state_contracting_view/4781084" TargetMode="External"/>
  <ns0:Relationship Id="rId86" Type="http://schemas.openxmlformats.org/officeDocument/2006/relationships/hyperlink" Target="https://my.zakupki.prom.ua/remote/dispatcher/state_purchase_view/17488939" TargetMode="External"/>
  <ns0:Relationship Id="rId87" Type="http://schemas.openxmlformats.org/officeDocument/2006/relationships/hyperlink" Target="https://my.zakupki.prom.ua/remote/dispatcher/state_contracting_view/4647888" TargetMode="External"/>
  <ns0:Relationship Id="rId88" Type="http://schemas.openxmlformats.org/officeDocument/2006/relationships/hyperlink" Target="https://my.zakupki.prom.ua/remote/dispatcher/state_purchase_view/17647140" TargetMode="External"/>
  <ns0:Relationship Id="rId89" Type="http://schemas.openxmlformats.org/officeDocument/2006/relationships/hyperlink" Target="https://my.zakupki.prom.ua/remote/dispatcher/state_contracting_view/4721709" TargetMode="External"/>
  <ns0:Relationship Id="rId90" Type="http://schemas.openxmlformats.org/officeDocument/2006/relationships/hyperlink" Target="https://my.zakupki.prom.ua/remote/dispatcher/state_purchase_view/17769188" TargetMode="External"/>
  <ns0:Relationship Id="rId91" Type="http://schemas.openxmlformats.org/officeDocument/2006/relationships/hyperlink" Target="https://my.zakupki.prom.ua/remote/dispatcher/state_contracting_view/4778050" TargetMode="External"/>
  <ns0:Relationship Id="rId92" Type="http://schemas.openxmlformats.org/officeDocument/2006/relationships/hyperlink" Target="https://my.zakupki.prom.ua/remote/dispatcher/state_purchase_view/17699268" TargetMode="External"/>
  <ns0:Relationship Id="rId93" Type="http://schemas.openxmlformats.org/officeDocument/2006/relationships/hyperlink" Target="https://my.zakupki.prom.ua/remote/dispatcher/state_contracting_view/4745594" TargetMode="External"/>
  <ns0:Relationship Id="rId94" Type="http://schemas.openxmlformats.org/officeDocument/2006/relationships/hyperlink" Target="https://my.zakupki.prom.ua/remote/dispatcher/state_purchase_view/19512216" TargetMode="External"/>
  <ns0:Relationship Id="rId95" Type="http://schemas.openxmlformats.org/officeDocument/2006/relationships/hyperlink" Target="https://my.zakupki.prom.ua/remote/dispatcher/state_contracting_view/5598208" TargetMode="External"/>
  <ns0:Relationship Id="rId96" Type="http://schemas.openxmlformats.org/officeDocument/2006/relationships/hyperlink" Target="https://my.zakupki.prom.ua/remote/dispatcher/state_purchase_view/21591753" TargetMode="External"/>
  <ns0:Relationship Id="rId97" Type="http://schemas.openxmlformats.org/officeDocument/2006/relationships/hyperlink" Target="https://my.zakupki.prom.ua/remote/dispatcher/state_contracting_view/6583742" TargetMode="External"/>
  <ns0:Relationship Id="rId98" Type="http://schemas.openxmlformats.org/officeDocument/2006/relationships/hyperlink" Target="https://my.zakupki.prom.ua/remote/dispatcher/state_purchase_view/21317261" TargetMode="External"/>
  <ns0:Relationship Id="rId99" Type="http://schemas.openxmlformats.org/officeDocument/2006/relationships/hyperlink" Target="https://my.zakupki.prom.ua/remote/dispatcher/state_contracting_view/6455519" TargetMode="External"/>
  <ns0:Relationship Id="rId100" Type="http://schemas.openxmlformats.org/officeDocument/2006/relationships/hyperlink" Target="https://my.zakupki.prom.ua/remote/dispatcher/state_purchase_view/21328626" TargetMode="External"/>
  <ns0:Relationship Id="rId101" Type="http://schemas.openxmlformats.org/officeDocument/2006/relationships/hyperlink" Target="https://my.zakupki.prom.ua/remote/dispatcher/state_contracting_view/6460383" TargetMode="External"/>
  <ns0:Relationship Id="rId102" Type="http://schemas.openxmlformats.org/officeDocument/2006/relationships/hyperlink" Target="https://my.zakupki.prom.ua/remote/dispatcher/state_purchase_view/21323747" TargetMode="External"/>
  <ns0:Relationship Id="rId103" Type="http://schemas.openxmlformats.org/officeDocument/2006/relationships/hyperlink" Target="https://my.zakupki.prom.ua/remote/dispatcher/state_contracting_view/6459093" TargetMode="External"/>
  <ns0:Relationship Id="rId104" Type="http://schemas.openxmlformats.org/officeDocument/2006/relationships/hyperlink" Target="https://my.zakupki.prom.ua/remote/dispatcher/state_purchase_view/22749043" TargetMode="External"/>
  <ns0:Relationship Id="rId105" Type="http://schemas.openxmlformats.org/officeDocument/2006/relationships/hyperlink" Target="https://my.zakupki.prom.ua/remote/dispatcher/state_contracting_view/7138694" TargetMode="External"/>
  <ns0:Relationship Id="rId106" Type="http://schemas.openxmlformats.org/officeDocument/2006/relationships/hyperlink" Target="https://my.zakupki.prom.ua/remote/dispatcher/state_purchase_view/20674391" TargetMode="External"/>
  <ns0:Relationship Id="rId107" Type="http://schemas.openxmlformats.org/officeDocument/2006/relationships/hyperlink" Target="https://my.zakupki.prom.ua/remote/dispatcher/state_contracting_view/6153019" TargetMode="External"/>
  <ns0:Relationship Id="rId108" Type="http://schemas.openxmlformats.org/officeDocument/2006/relationships/hyperlink" Target="https://my.zakupki.prom.ua/remote/dispatcher/state_purchase_view/20651715" TargetMode="External"/>
  <ns0:Relationship Id="rId109" Type="http://schemas.openxmlformats.org/officeDocument/2006/relationships/hyperlink" Target="https://my.zakupki.prom.ua/remote/dispatcher/state_contracting_view/6142355" TargetMode="External"/>
  <ns0:Relationship Id="rId110" Type="http://schemas.openxmlformats.org/officeDocument/2006/relationships/hyperlink" Target="https://my.zakupki.prom.ua/remote/dispatcher/state_purchase_view/20779482" TargetMode="External"/>
  <ns0:Relationship Id="rId111" Type="http://schemas.openxmlformats.org/officeDocument/2006/relationships/hyperlink" Target="https://my.zakupki.prom.ua/remote/dispatcher/state_contracting_view/6203164" TargetMode="External"/>
  <ns0:Relationship Id="rId112" Type="http://schemas.openxmlformats.org/officeDocument/2006/relationships/hyperlink" Target="https://my.zakupki.prom.ua/remote/dispatcher/state_purchase_view/20276021" TargetMode="External"/>
  <ns0:Relationship Id="rId113" Type="http://schemas.openxmlformats.org/officeDocument/2006/relationships/hyperlink" Target="https://my.zakupki.prom.ua/remote/dispatcher/state_contracting_view/5959003" TargetMode="External"/>
  <ns0:Relationship Id="rId114" Type="http://schemas.openxmlformats.org/officeDocument/2006/relationships/hyperlink" Target="https://my.zakupki.prom.ua/remote/dispatcher/state_purchase_view/20877029" TargetMode="External"/>
  <ns0:Relationship Id="rId115" Type="http://schemas.openxmlformats.org/officeDocument/2006/relationships/hyperlink" Target="https://my.zakupki.prom.ua/remote/dispatcher/state_contracting_view/6249711" TargetMode="External"/>
  <ns0:Relationship Id="rId116" Type="http://schemas.openxmlformats.org/officeDocument/2006/relationships/hyperlink" Target="https://my.zakupki.prom.ua/remote/dispatcher/state_purchase_view/20875905" TargetMode="External"/>
  <ns0:Relationship Id="rId117" Type="http://schemas.openxmlformats.org/officeDocument/2006/relationships/hyperlink" Target="https://my.zakupki.prom.ua/remote/dispatcher/state_contracting_view/6248889" TargetMode="External"/>
  <ns0:Relationship Id="rId118" Type="http://schemas.openxmlformats.org/officeDocument/2006/relationships/hyperlink" Target="https://my.zakupki.prom.ua/remote/dispatcher/state_purchase_view/20828869" TargetMode="External"/>
  <ns0:Relationship Id="rId119" Type="http://schemas.openxmlformats.org/officeDocument/2006/relationships/hyperlink" Target="https://my.zakupki.prom.ua/remote/dispatcher/state_contracting_view/6226052" TargetMode="External"/>
  <ns0:Relationship Id="rId120" Type="http://schemas.openxmlformats.org/officeDocument/2006/relationships/hyperlink" Target="https://my.zakupki.prom.ua/remote/dispatcher/state_purchase_view/20742554" TargetMode="External"/>
  <ns0:Relationship Id="rId121" Type="http://schemas.openxmlformats.org/officeDocument/2006/relationships/hyperlink" Target="https://my.zakupki.prom.ua/remote/dispatcher/state_contracting_view/6185308" TargetMode="External"/>
  <ns0:Relationship Id="rId122" Type="http://schemas.openxmlformats.org/officeDocument/2006/relationships/hyperlink" Target="https://my.zakupki.prom.ua/remote/dispatcher/state_purchase_view/21159284" TargetMode="External"/>
  <ns0:Relationship Id="rId123" Type="http://schemas.openxmlformats.org/officeDocument/2006/relationships/hyperlink" Target="https://my.zakupki.prom.ua/remote/dispatcher/state_contracting_view/6382049" TargetMode="External"/>
  <ns0:Relationship Id="rId124" Type="http://schemas.openxmlformats.org/officeDocument/2006/relationships/hyperlink" Target="https://my.zakupki.prom.ua/remote/dispatcher/state_purchase_view/21205574" TargetMode="External"/>
  <ns0:Relationship Id="rId125" Type="http://schemas.openxmlformats.org/officeDocument/2006/relationships/hyperlink" Target="https://my.zakupki.prom.ua/remote/dispatcher/state_contracting_view/6402989" TargetMode="External"/>
  <ns0:Relationship Id="rId126" Type="http://schemas.openxmlformats.org/officeDocument/2006/relationships/hyperlink" Target="https://my.zakupki.prom.ua/remote/dispatcher/state_purchase_view/20935759" TargetMode="External"/>
  <ns0:Relationship Id="rId127" Type="http://schemas.openxmlformats.org/officeDocument/2006/relationships/hyperlink" Target="https://my.zakupki.prom.ua/remote/dispatcher/state_contracting_view/6277529" TargetMode="External"/>
  <ns0:Relationship Id="rId128" Type="http://schemas.openxmlformats.org/officeDocument/2006/relationships/hyperlink" Target="https://my.zakupki.prom.ua/remote/dispatcher/state_purchase_view/15858044" TargetMode="External"/>
  <ns0:Relationship Id="rId129" Type="http://schemas.openxmlformats.org/officeDocument/2006/relationships/hyperlink" Target="https://my.zakupki.prom.ua/remote/dispatcher/state_contracting_view/3970756" TargetMode="External"/>
  <ns0:Relationship Id="rId130" Type="http://schemas.openxmlformats.org/officeDocument/2006/relationships/hyperlink" Target="https://my.zakupki.prom.ua/remote/dispatcher/state_purchase_view/15939572" TargetMode="External"/>
  <ns0:Relationship Id="rId131" Type="http://schemas.openxmlformats.org/officeDocument/2006/relationships/hyperlink" Target="https://my.zakupki.prom.ua/remote/dispatcher/state_contracting_view/3995067" TargetMode="External"/>
  <ns0:Relationship Id="rId132" Type="http://schemas.openxmlformats.org/officeDocument/2006/relationships/hyperlink" Target="https://my.zakupki.prom.ua/remote/dispatcher/state_purchase_view/15673760" TargetMode="External"/>
  <ns0:Relationship Id="rId133" Type="http://schemas.openxmlformats.org/officeDocument/2006/relationships/hyperlink" Target="https://my.zakupki.prom.ua/remote/dispatcher/state_contracting_view/3910896" TargetMode="External"/>
  <ns0:Relationship Id="rId134" Type="http://schemas.openxmlformats.org/officeDocument/2006/relationships/hyperlink" Target="https://my.zakupki.prom.ua/remote/dispatcher/state_purchase_view/15189467" TargetMode="External"/>
  <ns0:Relationship Id="rId135" Type="http://schemas.openxmlformats.org/officeDocument/2006/relationships/hyperlink" Target="https://my.zakupki.prom.ua/remote/dispatcher/state_contracting_view/3774519" TargetMode="External"/>
  <ns0:Relationship Id="rId136" Type="http://schemas.openxmlformats.org/officeDocument/2006/relationships/hyperlink" Target="https://my.zakupki.prom.ua/remote/dispatcher/state_purchase_view/15970783" TargetMode="External"/>
  <ns0:Relationship Id="rId137" Type="http://schemas.openxmlformats.org/officeDocument/2006/relationships/hyperlink" Target="https://my.zakupki.prom.ua/remote/dispatcher/state_contracting_view/4005045" TargetMode="External"/>
  <ns0:Relationship Id="rId138" Type="http://schemas.openxmlformats.org/officeDocument/2006/relationships/hyperlink" Target="https://my.zakupki.prom.ua/remote/dispatcher/state_purchase_view/16006186" TargetMode="External"/>
  <ns0:Relationship Id="rId139" Type="http://schemas.openxmlformats.org/officeDocument/2006/relationships/hyperlink" Target="https://my.zakupki.prom.ua/remote/dispatcher/state_contracting_view/4017237" TargetMode="External"/>
  <ns0:Relationship Id="rId140" Type="http://schemas.openxmlformats.org/officeDocument/2006/relationships/hyperlink" Target="https://my.zakupki.prom.ua/remote/dispatcher/state_purchase_view/15706508" TargetMode="External"/>
  <ns0:Relationship Id="rId141" Type="http://schemas.openxmlformats.org/officeDocument/2006/relationships/hyperlink" Target="https://my.zakupki.prom.ua/remote/dispatcher/state_contracting_view/3920820" TargetMode="External"/>
  <ns0:Relationship Id="rId142" Type="http://schemas.openxmlformats.org/officeDocument/2006/relationships/hyperlink" Target="https://my.zakupki.prom.ua/remote/dispatcher/state_purchase_view/15678342" TargetMode="External"/>
  <ns0:Relationship Id="rId143" Type="http://schemas.openxmlformats.org/officeDocument/2006/relationships/hyperlink" Target="https://my.zakupki.prom.ua/remote/dispatcher/state_contracting_view/3912446" TargetMode="External"/>
  <ns0:Relationship Id="rId144" Type="http://schemas.openxmlformats.org/officeDocument/2006/relationships/hyperlink" Target="https://my.zakupki.prom.ua/remote/dispatcher/state_purchase_view/15689743" TargetMode="External"/>
  <ns0:Relationship Id="rId145" Type="http://schemas.openxmlformats.org/officeDocument/2006/relationships/hyperlink" Target="https://my.zakupki.prom.ua/remote/dispatcher/state_contracting_view/3916061" TargetMode="External"/>
  <ns0:Relationship Id="rId146" Type="http://schemas.openxmlformats.org/officeDocument/2006/relationships/hyperlink" Target="https://my.zakupki.prom.ua/remote/dispatcher/state_purchase_view/17852338" TargetMode="External"/>
  <ns0:Relationship Id="rId147" Type="http://schemas.openxmlformats.org/officeDocument/2006/relationships/hyperlink" Target="https://my.zakupki.prom.ua/remote/dispatcher/state_contracting_view/4817019" TargetMode="External"/>
  <ns0:Relationship Id="rId148" Type="http://schemas.openxmlformats.org/officeDocument/2006/relationships/hyperlink" Target="https://my.zakupki.prom.ua/remote/dispatcher/state_purchase_view/17969807" TargetMode="External"/>
  <ns0:Relationship Id="rId149" Type="http://schemas.openxmlformats.org/officeDocument/2006/relationships/hyperlink" Target="https://my.zakupki.prom.ua/remote/dispatcher/state_contracting_view/4871410" TargetMode="External"/>
  <ns0:Relationship Id="rId150" Type="http://schemas.openxmlformats.org/officeDocument/2006/relationships/hyperlink" Target="https://my.zakupki.prom.ua/remote/dispatcher/state_purchase_view/19569489" TargetMode="External"/>
  <ns0:Relationship Id="rId151" Type="http://schemas.openxmlformats.org/officeDocument/2006/relationships/hyperlink" Target="https://my.zakupki.prom.ua/remote/dispatcher/state_contracting_view/5625735" TargetMode="External"/>
  <ns0:Relationship Id="rId152" Type="http://schemas.openxmlformats.org/officeDocument/2006/relationships/hyperlink" Target="https://my.zakupki.prom.ua/remote/dispatcher/state_purchase_view/19510658" TargetMode="External"/>
  <ns0:Relationship Id="rId153" Type="http://schemas.openxmlformats.org/officeDocument/2006/relationships/hyperlink" Target="https://my.zakupki.prom.ua/remote/dispatcher/state_contracting_view/5597699" TargetMode="External"/>
  <ns0:Relationship Id="rId154" Type="http://schemas.openxmlformats.org/officeDocument/2006/relationships/hyperlink" Target="https://my.zakupki.prom.ua/remote/dispatcher/state_purchase_view/19511165" TargetMode="External"/>
  <ns0:Relationship Id="rId155" Type="http://schemas.openxmlformats.org/officeDocument/2006/relationships/hyperlink" Target="https://my.zakupki.prom.ua/remote/dispatcher/state_contracting_view/5597732" TargetMode="External"/>
  <ns0:Relationship Id="rId156" Type="http://schemas.openxmlformats.org/officeDocument/2006/relationships/hyperlink" Target="https://my.zakupki.prom.ua/remote/dispatcher/state_purchase_view/19512799" TargetMode="External"/>
  <ns0:Relationship Id="rId157" Type="http://schemas.openxmlformats.org/officeDocument/2006/relationships/hyperlink" Target="https://my.zakupki.prom.ua/remote/dispatcher/state_contracting_view/5598305" TargetMode="External"/>
  <ns0:Relationship Id="rId158" Type="http://schemas.openxmlformats.org/officeDocument/2006/relationships/hyperlink" Target="https://my.zakupki.prom.ua/remote/dispatcher/state_purchase_view/19514143" TargetMode="External"/>
  <ns0:Relationship Id="rId159" Type="http://schemas.openxmlformats.org/officeDocument/2006/relationships/hyperlink" Target="https://my.zakupki.prom.ua/remote/dispatcher/state_contracting_view/5599066" TargetMode="External"/>
  <ns0:Relationship Id="rId160" Type="http://schemas.openxmlformats.org/officeDocument/2006/relationships/hyperlink" Target="https://my.zakupki.prom.ua/remote/dispatcher/state_purchase_view/19443745" TargetMode="External"/>
  <ns0:Relationship Id="rId161" Type="http://schemas.openxmlformats.org/officeDocument/2006/relationships/hyperlink" Target="https://my.zakupki.prom.ua/remote/dispatcher/state_contracting_view/5565678" TargetMode="External"/>
  <ns0:Relationship Id="rId162" Type="http://schemas.openxmlformats.org/officeDocument/2006/relationships/hyperlink" Target="https://my.zakupki.prom.ua/remote/dispatcher/state_purchase_view/18861475" TargetMode="External"/>
  <ns0:Relationship Id="rId163" Type="http://schemas.openxmlformats.org/officeDocument/2006/relationships/hyperlink" Target="https://my.zakupki.prom.ua/remote/dispatcher/state_contracting_view/5656058" TargetMode="External"/>
  <ns0:Relationship Id="rId164" Type="http://schemas.openxmlformats.org/officeDocument/2006/relationships/hyperlink" Target="https://my.zakupki.prom.ua/remote/dispatcher/state_purchase_view/19636753" TargetMode="External"/>
  <ns0:Relationship Id="rId165" Type="http://schemas.openxmlformats.org/officeDocument/2006/relationships/hyperlink" Target="https://my.zakupki.prom.ua/remote/dispatcher/state_contracting_view/5659123" TargetMode="External"/>
  <ns0:Relationship Id="rId166" Type="http://schemas.openxmlformats.org/officeDocument/2006/relationships/hyperlink" Target="https://my.zakupki.prom.ua/remote/dispatcher/state_purchase_view/19733275" TargetMode="External"/>
  <ns0:Relationship Id="rId167" Type="http://schemas.openxmlformats.org/officeDocument/2006/relationships/hyperlink" Target="https://my.zakupki.prom.ua/remote/dispatcher/state_contracting_view/5703242" TargetMode="External"/>
  <ns0:Relationship Id="rId168" Type="http://schemas.openxmlformats.org/officeDocument/2006/relationships/hyperlink" Target="https://my.zakupki.prom.ua/remote/dispatcher/state_purchase_view/15138544" TargetMode="External"/>
  <ns0:Relationship Id="rId169" Type="http://schemas.openxmlformats.org/officeDocument/2006/relationships/hyperlink" Target="https://my.zakupki.prom.ua/remote/dispatcher/state_contracting_view/3762293" TargetMode="External"/>
  <ns0:Relationship Id="rId170" Type="http://schemas.openxmlformats.org/officeDocument/2006/relationships/hyperlink" Target="https://my.zakupki.prom.ua/remote/dispatcher/state_purchase_view/17132035" TargetMode="External"/>
  <ns0:Relationship Id="rId171" Type="http://schemas.openxmlformats.org/officeDocument/2006/relationships/hyperlink" Target="https://my.zakupki.prom.ua/remote/dispatcher/state_contracting_view/4484994" TargetMode="External"/>
  <ns0:Relationship Id="rId172" Type="http://schemas.openxmlformats.org/officeDocument/2006/relationships/hyperlink" Target="https://my.zakupki.prom.ua/remote/dispatcher/state_purchase_view/17488614" TargetMode="External"/>
  <ns0:Relationship Id="rId173" Type="http://schemas.openxmlformats.org/officeDocument/2006/relationships/hyperlink" Target="https://my.zakupki.prom.ua/remote/dispatcher/state_contracting_view/4647734" TargetMode="External"/>
  <ns0:Relationship Id="rId174" Type="http://schemas.openxmlformats.org/officeDocument/2006/relationships/hyperlink" Target="https://my.zakupki.prom.ua/remote/dispatcher/state_purchase_view/17772913" TargetMode="External"/>
  <ns0:Relationship Id="rId175" Type="http://schemas.openxmlformats.org/officeDocument/2006/relationships/hyperlink" Target="https://my.zakupki.prom.ua/remote/dispatcher/state_contracting_view/4779820" TargetMode="External"/>
  <ns0:Relationship Id="rId176" Type="http://schemas.openxmlformats.org/officeDocument/2006/relationships/hyperlink" Target="https://my.zakupki.prom.ua/remote/dispatcher/state_purchase_view/17721831" TargetMode="External"/>
  <ns0:Relationship Id="rId177" Type="http://schemas.openxmlformats.org/officeDocument/2006/relationships/hyperlink" Target="https://my.zakupki.prom.ua/remote/dispatcher/state_contracting_view/4756192" TargetMode="External"/>
  <ns0:Relationship Id="rId178" Type="http://schemas.openxmlformats.org/officeDocument/2006/relationships/hyperlink" Target="https://my.zakupki.prom.ua/remote/dispatcher/state_purchase_view/17709812" TargetMode="External"/>
  <ns0:Relationship Id="rId179" Type="http://schemas.openxmlformats.org/officeDocument/2006/relationships/hyperlink" Target="https://my.zakupki.prom.ua/remote/dispatcher/state_contracting_view/4750317" TargetMode="External"/>
  <ns0:Relationship Id="rId180" Type="http://schemas.openxmlformats.org/officeDocument/2006/relationships/hyperlink" Target="https://my.zakupki.prom.ua/remote/dispatcher/state_purchase_view/17703443" TargetMode="External"/>
  <ns0:Relationship Id="rId181" Type="http://schemas.openxmlformats.org/officeDocument/2006/relationships/hyperlink" Target="https://my.zakupki.prom.ua/remote/dispatcher/state_contracting_view/4747691" TargetMode="External"/>
  <ns0:Relationship Id="rId182" Type="http://schemas.openxmlformats.org/officeDocument/2006/relationships/hyperlink" Target="https://my.zakupki.prom.ua/remote/dispatcher/state_purchase_view/20206290" TargetMode="External"/>
  <ns0:Relationship Id="rId183" Type="http://schemas.openxmlformats.org/officeDocument/2006/relationships/hyperlink" Target="https://my.zakupki.prom.ua/remote/dispatcher/state_contracting_view/5925881" TargetMode="External"/>
  <ns0:Relationship Id="rId184" Type="http://schemas.openxmlformats.org/officeDocument/2006/relationships/hyperlink" Target="https://my.zakupki.prom.ua/remote/dispatcher/state_purchase_view/20131505" TargetMode="External"/>
  <ns0:Relationship Id="rId185" Type="http://schemas.openxmlformats.org/officeDocument/2006/relationships/hyperlink" Target="https://my.zakupki.prom.ua/remote/dispatcher/state_contracting_view/5890700" TargetMode="External"/>
  <ns0:Relationship Id="rId186" Type="http://schemas.openxmlformats.org/officeDocument/2006/relationships/hyperlink" Target="https://my.zakupki.prom.ua/remote/dispatcher/state_purchase_view/20118768" TargetMode="External"/>
  <ns0:Relationship Id="rId187" Type="http://schemas.openxmlformats.org/officeDocument/2006/relationships/hyperlink" Target="https://my.zakupki.prom.ua/remote/dispatcher/state_contracting_view/5888940" TargetMode="External"/>
  <ns0:Relationship Id="rId188" Type="http://schemas.openxmlformats.org/officeDocument/2006/relationships/hyperlink" Target="https://my.zakupki.prom.ua/remote/dispatcher/state_purchase_view/20016087" TargetMode="External"/>
  <ns0:Relationship Id="rId189" Type="http://schemas.openxmlformats.org/officeDocument/2006/relationships/hyperlink" Target="https://my.zakupki.prom.ua/remote/dispatcher/state_contracting_view/5834791" TargetMode="External"/>
  <ns0:Relationship Id="rId190" Type="http://schemas.openxmlformats.org/officeDocument/2006/relationships/hyperlink" Target="https://my.zakupki.prom.ua/remote/dispatcher/state_purchase_view/20015075" TargetMode="External"/>
  <ns0:Relationship Id="rId191" Type="http://schemas.openxmlformats.org/officeDocument/2006/relationships/hyperlink" Target="https://my.zakupki.prom.ua/remote/dispatcher/state_contracting_view/5834404" TargetMode="External"/>
  <ns0:Relationship Id="rId192" Type="http://schemas.openxmlformats.org/officeDocument/2006/relationships/hyperlink" Target="https://my.zakupki.prom.ua/remote/dispatcher/state_purchase_view/19793845" TargetMode="External"/>
  <ns0:Relationship Id="rId193" Type="http://schemas.openxmlformats.org/officeDocument/2006/relationships/hyperlink" Target="https://my.zakupki.prom.ua/remote/dispatcher/state_contracting_view/5731356" TargetMode="External"/>
  <ns0:Relationship Id="rId194" Type="http://schemas.openxmlformats.org/officeDocument/2006/relationships/hyperlink" Target="https://my.zakupki.prom.ua/remote/dispatcher/state_purchase_view/19884776" TargetMode="External"/>
  <ns0:Relationship Id="rId195" Type="http://schemas.openxmlformats.org/officeDocument/2006/relationships/hyperlink" Target="https://my.zakupki.prom.ua/remote/dispatcher/state_contracting_view/5773746" TargetMode="External"/>
  <ns0:Relationship Id="rId196" Type="http://schemas.openxmlformats.org/officeDocument/2006/relationships/hyperlink" Target="https://my.zakupki.prom.ua/remote/dispatcher/state_purchase_view/19884173" TargetMode="External"/>
  <ns0:Relationship Id="rId197" Type="http://schemas.openxmlformats.org/officeDocument/2006/relationships/hyperlink" Target="https://my.zakupki.prom.ua/remote/dispatcher/state_contracting_view/5773461" TargetMode="External"/>
  <ns0:Relationship Id="rId198" Type="http://schemas.openxmlformats.org/officeDocument/2006/relationships/hyperlink" Target="https://my.zakupki.prom.ua/remote/dispatcher/state_purchase_view/19886037" TargetMode="External"/>
  <ns0:Relationship Id="rId199" Type="http://schemas.openxmlformats.org/officeDocument/2006/relationships/hyperlink" Target="https://my.zakupki.prom.ua/remote/dispatcher/state_contracting_view/5774503" TargetMode="External"/>
  <ns0:Relationship Id="rId200" Type="http://schemas.openxmlformats.org/officeDocument/2006/relationships/hyperlink" Target="https://my.zakupki.prom.ua/remote/dispatcher/state_purchase_view/20241985" TargetMode="External"/>
  <ns0:Relationship Id="rId201" Type="http://schemas.openxmlformats.org/officeDocument/2006/relationships/hyperlink" Target="https://my.zakupki.prom.ua/remote/dispatcher/state_contracting_view/5943388" TargetMode="External"/>
  <ns0:Relationship Id="rId202" Type="http://schemas.openxmlformats.org/officeDocument/2006/relationships/hyperlink" Target="https://my.zakupki.prom.ua/remote/dispatcher/state_purchase_view/18823365" TargetMode="External"/>
  <ns0:Relationship Id="rId203" Type="http://schemas.openxmlformats.org/officeDocument/2006/relationships/hyperlink" Target="https://my.zakupki.prom.ua/remote/dispatcher/state_contracting_view/5273029" TargetMode="External"/>
  <ns0:Relationship Id="rId204" Type="http://schemas.openxmlformats.org/officeDocument/2006/relationships/hyperlink" Target="https://my.zakupki.prom.ua/remote/dispatcher/state_purchase_view/18631208" TargetMode="External"/>
  <ns0:Relationship Id="rId205" Type="http://schemas.openxmlformats.org/officeDocument/2006/relationships/hyperlink" Target="https://my.zakupki.prom.ua/remote/dispatcher/state_contracting_view/5429226" TargetMode="External"/>
  <ns0:Relationship Id="rId206" Type="http://schemas.openxmlformats.org/officeDocument/2006/relationships/hyperlink" Target="https://my.zakupki.prom.ua/remote/dispatcher/state_purchase_view/19032483" TargetMode="External"/>
  <ns0:Relationship Id="rId207" Type="http://schemas.openxmlformats.org/officeDocument/2006/relationships/hyperlink" Target="https://my.zakupki.prom.ua/remote/dispatcher/state_contracting_view/5447435" TargetMode="External"/>
  <ns0:Relationship Id="rId208" Type="http://schemas.openxmlformats.org/officeDocument/2006/relationships/hyperlink" Target="https://my.zakupki.prom.ua/remote/dispatcher/state_purchase_view/19115189" TargetMode="External"/>
  <ns0:Relationship Id="rId209" Type="http://schemas.openxmlformats.org/officeDocument/2006/relationships/hyperlink" Target="https://my.zakupki.prom.ua/remote/dispatcher/state_contracting_view/5411292" TargetMode="External"/>
  <ns0:Relationship Id="rId210" Type="http://schemas.openxmlformats.org/officeDocument/2006/relationships/hyperlink" Target="https://my.zakupki.prom.ua/remote/dispatcher/state_purchase_view/16859760" TargetMode="External"/>
  <ns0:Relationship Id="rId211" Type="http://schemas.openxmlformats.org/officeDocument/2006/relationships/hyperlink" Target="https://my.zakupki.prom.ua/remote/dispatcher/state_contracting_view/4367312" TargetMode="External"/>
  <ns0:Relationship Id="rId212" Type="http://schemas.openxmlformats.org/officeDocument/2006/relationships/hyperlink" Target="https://my.zakupki.prom.ua/remote/dispatcher/state_purchase_view/17223021" TargetMode="External"/>
  <ns0:Relationship Id="rId213" Type="http://schemas.openxmlformats.org/officeDocument/2006/relationships/hyperlink" Target="https://my.zakupki.prom.ua/remote/dispatcher/state_contracting_view/4525229" TargetMode="External"/>
  <ns0:Relationship Id="rId214" Type="http://schemas.openxmlformats.org/officeDocument/2006/relationships/hyperlink" Target="https://my.zakupki.prom.ua/remote/dispatcher/state_purchase_view/17221059" TargetMode="External"/>
  <ns0:Relationship Id="rId215" Type="http://schemas.openxmlformats.org/officeDocument/2006/relationships/hyperlink" Target="https://my.zakupki.prom.ua/remote/dispatcher/state_contracting_view/4524284" TargetMode="External"/>
  <ns0:Relationship Id="rId216" Type="http://schemas.openxmlformats.org/officeDocument/2006/relationships/hyperlink" Target="https://my.zakupki.prom.ua/remote/dispatcher/state_purchase_view/17292825" TargetMode="External"/>
  <ns0:Relationship Id="rId217" Type="http://schemas.openxmlformats.org/officeDocument/2006/relationships/hyperlink" Target="https://my.zakupki.prom.ua/remote/dispatcher/state_contracting_view/4556866" TargetMode="External"/>
  <ns0:Relationship Id="rId218" Type="http://schemas.openxmlformats.org/officeDocument/2006/relationships/hyperlink" Target="https://my.zakupki.prom.ua/remote/dispatcher/state_purchase_view/17284097" TargetMode="External"/>
  <ns0:Relationship Id="rId219" Type="http://schemas.openxmlformats.org/officeDocument/2006/relationships/hyperlink" Target="https://my.zakupki.prom.ua/remote/dispatcher/state_contracting_view/4552973" TargetMode="External"/>
  <ns0:Relationship Id="rId220" Type="http://schemas.openxmlformats.org/officeDocument/2006/relationships/hyperlink" Target="https://my.zakupki.prom.ua/remote/dispatcher/state_purchase_view/16917213" TargetMode="External"/>
  <ns0:Relationship Id="rId221" Type="http://schemas.openxmlformats.org/officeDocument/2006/relationships/hyperlink" Target="https://my.zakupki.prom.ua/remote/dispatcher/state_contracting_view/4386178" TargetMode="External"/>
  <ns0:Relationship Id="rId222" Type="http://schemas.openxmlformats.org/officeDocument/2006/relationships/hyperlink" Target="https://my.zakupki.prom.ua/remote/dispatcher/state_purchase_view/18443954" TargetMode="External"/>
  <ns0:Relationship Id="rId223" Type="http://schemas.openxmlformats.org/officeDocument/2006/relationships/hyperlink" Target="https://my.zakupki.prom.ua/remote/dispatcher/state_contracting_view/5092561" TargetMode="External"/>
  <ns0:Relationship Id="rId224" Type="http://schemas.openxmlformats.org/officeDocument/2006/relationships/hyperlink" Target="https://my.zakupki.prom.ua/remote/dispatcher/state_purchase_view/18543525" TargetMode="External"/>
  <ns0:Relationship Id="rId225" Type="http://schemas.openxmlformats.org/officeDocument/2006/relationships/hyperlink" Target="https://my.zakupki.prom.ua/remote/dispatcher/state_contracting_view/5139101" TargetMode="External"/>
  <ns0:Relationship Id="rId226" Type="http://schemas.openxmlformats.org/officeDocument/2006/relationships/hyperlink" Target="https://my.zakupki.prom.ua/remote/dispatcher/state_purchase_view/18473454" TargetMode="External"/>
  <ns0:Relationship Id="rId227" Type="http://schemas.openxmlformats.org/officeDocument/2006/relationships/hyperlink" Target="https://my.zakupki.prom.ua/remote/dispatcher/state_contracting_view/5106252" TargetMode="External"/>
  <ns0:Relationship Id="rId228" Type="http://schemas.openxmlformats.org/officeDocument/2006/relationships/hyperlink" Target="https://my.zakupki.prom.ua/remote/dispatcher/state_purchase_view/18481974" TargetMode="External"/>
  <ns0:Relationship Id="rId229" Type="http://schemas.openxmlformats.org/officeDocument/2006/relationships/hyperlink" Target="https://my.zakupki.prom.ua/remote/dispatcher/state_contracting_view/5110516" TargetMode="External"/>
  <ns0:Relationship Id="rId230" Type="http://schemas.openxmlformats.org/officeDocument/2006/relationships/hyperlink" Target="https://my.zakupki.prom.ua/remote/dispatcher/state_purchase_view/18478663" TargetMode="External"/>
  <ns0:Relationship Id="rId231" Type="http://schemas.openxmlformats.org/officeDocument/2006/relationships/hyperlink" Target="https://my.zakupki.prom.ua/remote/dispatcher/state_contracting_view/5113435" TargetMode="External"/>
  <ns0:Relationship Id="rId232" Type="http://schemas.openxmlformats.org/officeDocument/2006/relationships/hyperlink" Target="https://my.zakupki.prom.ua/remote/dispatcher/state_purchase_view/18611950" TargetMode="External"/>
  <ns0:Relationship Id="rId233" Type="http://schemas.openxmlformats.org/officeDocument/2006/relationships/hyperlink" Target="https://my.zakupki.prom.ua/remote/dispatcher/state_contracting_view/5235550" TargetMode="External"/>
  <ns0:Relationship Id="rId234" Type="http://schemas.openxmlformats.org/officeDocument/2006/relationships/hyperlink" Target="https://my.zakupki.prom.ua/remote/dispatcher/state_purchase_view/18788209" TargetMode="External"/>
  <ns0:Relationship Id="rId235" Type="http://schemas.openxmlformats.org/officeDocument/2006/relationships/hyperlink" Target="https://my.zakupki.prom.ua/remote/dispatcher/state_contracting_view/5255871" TargetMode="External"/>
  <ns0:Relationship Id="rId236" Type="http://schemas.openxmlformats.org/officeDocument/2006/relationships/hyperlink" Target="https://my.zakupki.prom.ua/remote/dispatcher/state_purchase_view/18795339" TargetMode="External"/>
  <ns0:Relationship Id="rId237" Type="http://schemas.openxmlformats.org/officeDocument/2006/relationships/hyperlink" Target="https://my.zakupki.prom.ua/remote/dispatcher/state_contracting_view/5259662" TargetMode="External"/>
  <ns0:Relationship Id="rId238" Type="http://schemas.openxmlformats.org/officeDocument/2006/relationships/hyperlink" Target="https://my.zakupki.prom.ua/remote/dispatcher/state_purchase_view/17885206" TargetMode="External"/>
  <ns0:Relationship Id="rId239" Type="http://schemas.openxmlformats.org/officeDocument/2006/relationships/hyperlink" Target="https://my.zakupki.prom.ua/remote/dispatcher/state_contracting_view/4832002" TargetMode="External"/>
  <ns0:Relationship Id="rId240" Type="http://schemas.openxmlformats.org/officeDocument/2006/relationships/hyperlink" Target="https://my.zakupki.prom.ua/remote/dispatcher/state_purchase_view/18046479" TargetMode="External"/>
  <ns0:Relationship Id="rId241" Type="http://schemas.openxmlformats.org/officeDocument/2006/relationships/hyperlink" Target="https://my.zakupki.prom.ua/remote/dispatcher/state_contracting_view/4907381" TargetMode="External"/>
  <ns0:Relationship Id="rId242" Type="http://schemas.openxmlformats.org/officeDocument/2006/relationships/hyperlink" Target="https://my.zakupki.prom.ua/remote/dispatcher/state_purchase_view/18338462" TargetMode="External"/>
  <ns0:Relationship Id="rId243" Type="http://schemas.openxmlformats.org/officeDocument/2006/relationships/hyperlink" Target="https://my.zakupki.prom.ua/remote/dispatcher/state_contracting_view/5042758" TargetMode="External"/>
  <ns0:Relationship Id="rId244" Type="http://schemas.openxmlformats.org/officeDocument/2006/relationships/hyperlink" Target="https://my.zakupki.prom.ua/remote/dispatcher/state_purchase_view/18339378" TargetMode="External"/>
  <ns0:Relationship Id="rId245" Type="http://schemas.openxmlformats.org/officeDocument/2006/relationships/hyperlink" Target="https://my.zakupki.prom.ua/remote/dispatcher/state_contracting_view/5043517" TargetMode="External"/>
  <ns0:Relationship Id="rId246" Type="http://schemas.openxmlformats.org/officeDocument/2006/relationships/hyperlink" Target="https://my.zakupki.prom.ua/remote/dispatcher/state_purchase_view/20464205" TargetMode="External"/>
  <ns0:Relationship Id="rId247" Type="http://schemas.openxmlformats.org/officeDocument/2006/relationships/hyperlink" Target="https://my.zakupki.prom.ua/remote/dispatcher/state_contracting_view/6051569" TargetMode="External"/>
  <ns0:Relationship Id="rId248" Type="http://schemas.openxmlformats.org/officeDocument/2006/relationships/hyperlink" Target="https://my.zakupki.prom.ua/remote/dispatcher/state_purchase_view/20623632" TargetMode="External"/>
  <ns0:Relationship Id="rId249" Type="http://schemas.openxmlformats.org/officeDocument/2006/relationships/hyperlink" Target="https://my.zakupki.prom.ua/remote/dispatcher/state_contracting_view/6129577" TargetMode="External"/>
  <ns0:Relationship Id="rId250" Type="http://schemas.openxmlformats.org/officeDocument/2006/relationships/hyperlink" Target="https://my.zakupki.prom.ua/remote/dispatcher/state_purchase_view/20585404" TargetMode="External"/>
  <ns0:Relationship Id="rId251" Type="http://schemas.openxmlformats.org/officeDocument/2006/relationships/hyperlink" Target="https://my.zakupki.prom.ua/remote/dispatcher/state_contracting_view/6111576" TargetMode="External"/>
  <ns0:Relationship Id="rId252" Type="http://schemas.openxmlformats.org/officeDocument/2006/relationships/hyperlink" Target="https://my.zakupki.prom.ua/remote/dispatcher/state_purchase_view/20599481" TargetMode="External"/>
  <ns0:Relationship Id="rId253" Type="http://schemas.openxmlformats.org/officeDocument/2006/relationships/hyperlink" Target="https://my.zakupki.prom.ua/remote/dispatcher/state_contracting_view/6118030" TargetMode="External"/>
  <ns0:Relationship Id="rId254" Type="http://schemas.openxmlformats.org/officeDocument/2006/relationships/hyperlink" Target="https://my.zakupki.prom.ua/remote/dispatcher/state_purchase_view/20681660" TargetMode="External"/>
  <ns0:Relationship Id="rId255" Type="http://schemas.openxmlformats.org/officeDocument/2006/relationships/hyperlink" Target="https://my.zakupki.prom.ua/remote/dispatcher/state_contracting_view/6156229" TargetMode="External"/>
  <ns0:Relationship Id="rId256" Type="http://schemas.openxmlformats.org/officeDocument/2006/relationships/hyperlink" Target="https://my.zakupki.prom.ua/remote/dispatcher/state_purchase_view/20682021" TargetMode="External"/>
  <ns0:Relationship Id="rId257" Type="http://schemas.openxmlformats.org/officeDocument/2006/relationships/hyperlink" Target="https://my.zakupki.prom.ua/remote/dispatcher/state_contracting_view/6156276" TargetMode="External"/>
  <ns0:Relationship Id="rId258" Type="http://schemas.openxmlformats.org/officeDocument/2006/relationships/hyperlink" Target="https://my.zakupki.prom.ua/remote/dispatcher/state_purchase_view/20672897" TargetMode="External"/>
  <ns0:Relationship Id="rId259" Type="http://schemas.openxmlformats.org/officeDocument/2006/relationships/hyperlink" Target="https://my.zakupki.prom.ua/remote/dispatcher/state_contracting_view/6152715" TargetMode="External"/>
  <ns0:Relationship Id="rId260" Type="http://schemas.openxmlformats.org/officeDocument/2006/relationships/hyperlink" Target="https://my.zakupki.prom.ua/remote/dispatcher/state_purchase_view/19699874" TargetMode="External"/>
  <ns0:Relationship Id="rId261" Type="http://schemas.openxmlformats.org/officeDocument/2006/relationships/hyperlink" Target="https://my.zakupki.prom.ua/remote/dispatcher/state_contracting_view/6227790" TargetMode="External"/>
  <ns0:Relationship Id="rId262" Type="http://schemas.openxmlformats.org/officeDocument/2006/relationships/hyperlink" Target="https://my.zakupki.prom.ua/remote/dispatcher/state_purchase_view/20980955" TargetMode="External"/>
  <ns0:Relationship Id="rId263" Type="http://schemas.openxmlformats.org/officeDocument/2006/relationships/hyperlink" Target="https://my.zakupki.prom.ua/remote/dispatcher/state_contracting_view/6298864" TargetMode="External"/>
  <ns0:Relationship Id="rId264" Type="http://schemas.openxmlformats.org/officeDocument/2006/relationships/hyperlink" Target="https://my.zakupki.prom.ua/remote/dispatcher/state_purchase_view/20986438" TargetMode="External"/>
  <ns0:Relationship Id="rId265" Type="http://schemas.openxmlformats.org/officeDocument/2006/relationships/hyperlink" Target="https://my.zakupki.prom.ua/remote/dispatcher/state_contracting_view/6301557" TargetMode="External"/>
  <ns0:Relationship Id="rId266" Type="http://schemas.openxmlformats.org/officeDocument/2006/relationships/hyperlink" Target="https://my.zakupki.prom.ua/remote/dispatcher/state_purchase_view/20985047" TargetMode="External"/>
  <ns0:Relationship Id="rId267" Type="http://schemas.openxmlformats.org/officeDocument/2006/relationships/hyperlink" Target="https://my.zakupki.prom.ua/remote/dispatcher/state_contracting_view/6301102" TargetMode="External"/>
  <ns0:Relationship Id="rId268" Type="http://schemas.openxmlformats.org/officeDocument/2006/relationships/hyperlink" Target="https://my.zakupki.prom.ua/remote/dispatcher/state_purchase_view/20987218" TargetMode="External"/>
  <ns0:Relationship Id="rId269" Type="http://schemas.openxmlformats.org/officeDocument/2006/relationships/hyperlink" Target="https://my.zakupki.prom.ua/remote/dispatcher/state_contracting_view/6302128" TargetMode="External"/>
  <ns0:Relationship Id="rId270" Type="http://schemas.openxmlformats.org/officeDocument/2006/relationships/hyperlink" Target="https://my.zakupki.prom.ua/remote/dispatcher/state_purchase_view/17563449" TargetMode="External"/>
  <ns0:Relationship Id="rId271" Type="http://schemas.openxmlformats.org/officeDocument/2006/relationships/hyperlink" Target="https://my.zakupki.prom.ua/remote/dispatcher/state_contracting_view/4683161" TargetMode="External"/>
  <ns0:Relationship Id="rId272" Type="http://schemas.openxmlformats.org/officeDocument/2006/relationships/hyperlink" Target="https://my.zakupki.prom.ua/remote/dispatcher/state_purchase_view/17575442" TargetMode="External"/>
  <ns0:Relationship Id="rId273" Type="http://schemas.openxmlformats.org/officeDocument/2006/relationships/hyperlink" Target="https://my.zakupki.prom.ua/remote/dispatcher/state_contracting_view/4688357" TargetMode="External"/>
  <ns0:Relationship Id="rId274" Type="http://schemas.openxmlformats.org/officeDocument/2006/relationships/hyperlink" Target="https://my.zakupki.prom.ua/remote/dispatcher/state_purchase_view/17564839" TargetMode="External"/>
  <ns0:Relationship Id="rId275" Type="http://schemas.openxmlformats.org/officeDocument/2006/relationships/hyperlink" Target="https://my.zakupki.prom.ua/remote/dispatcher/state_contracting_view/4685813" TargetMode="External"/>
  <ns0:Relationship Id="rId276" Type="http://schemas.openxmlformats.org/officeDocument/2006/relationships/hyperlink" Target="https://my.zakupki.prom.ua/remote/dispatcher/state_purchase_view/21113476" TargetMode="External"/>
  <ns0:Relationship Id="rId277" Type="http://schemas.openxmlformats.org/officeDocument/2006/relationships/hyperlink" Target="https://my.zakupki.prom.ua/remote/dispatcher/state_contracting_view/6360539" TargetMode="External"/>
  <ns0:Relationship Id="rId278" Type="http://schemas.openxmlformats.org/officeDocument/2006/relationships/hyperlink" Target="https://my.zakupki.prom.ua/remote/dispatcher/state_purchase_view/21146520" TargetMode="External"/>
  <ns0:Relationship Id="rId279" Type="http://schemas.openxmlformats.org/officeDocument/2006/relationships/hyperlink" Target="https://my.zakupki.prom.ua/remote/dispatcher/state_contracting_view/6376646" TargetMode="External"/>
  <ns0:Relationship Id="rId280" Type="http://schemas.openxmlformats.org/officeDocument/2006/relationships/hyperlink" Target="https://my.zakupki.prom.ua/remote/dispatcher/state_purchase_view/21174820" TargetMode="External"/>
  <ns0:Relationship Id="rId281" Type="http://schemas.openxmlformats.org/officeDocument/2006/relationships/hyperlink" Target="https://my.zakupki.prom.ua/remote/dispatcher/state_contracting_view/6389319" TargetMode="External"/>
  <ns0:Relationship Id="rId282" Type="http://schemas.openxmlformats.org/officeDocument/2006/relationships/hyperlink" Target="https://my.zakupki.prom.ua/remote/dispatcher/state_purchase_view/22427833" TargetMode="External"/>
  <ns0:Relationship Id="rId283" Type="http://schemas.openxmlformats.org/officeDocument/2006/relationships/hyperlink" Target="https://my.zakupki.prom.ua/remote/dispatcher/state_contracting_view/6981555" TargetMode="External"/>
  <ns0:Relationship Id="rId284" Type="http://schemas.openxmlformats.org/officeDocument/2006/relationships/hyperlink" Target="https://my.zakupki.prom.ua/remote/dispatcher/state_purchase_view/22097704" TargetMode="External"/>
  <ns0:Relationship Id="rId285" Type="http://schemas.openxmlformats.org/officeDocument/2006/relationships/hyperlink" Target="https://my.zakupki.prom.ua/remote/dispatcher/state_contracting_view/6821633" TargetMode="External"/>
  <ns0:Relationship Id="rId286" Type="http://schemas.openxmlformats.org/officeDocument/2006/relationships/hyperlink" Target="https://my.zakupki.prom.ua/remote/dispatcher/state_purchase_view/22747682" TargetMode="External"/>
  <ns0:Relationship Id="rId287" Type="http://schemas.openxmlformats.org/officeDocument/2006/relationships/hyperlink" Target="https://my.zakupki.prom.ua/remote/dispatcher/state_contracting_view/7137844" TargetMode="External"/>
  <ns0:Relationship Id="rId288" Type="http://schemas.openxmlformats.org/officeDocument/2006/relationships/hyperlink" Target="https://my.zakupki.prom.ua/remote/dispatcher/state_purchase_view/21147572" TargetMode="External"/>
  <ns0:Relationship Id="rId289" Type="http://schemas.openxmlformats.org/officeDocument/2006/relationships/hyperlink" Target="https://my.zakupki.prom.ua/remote/dispatcher/state_contracting_view/6376798" TargetMode="External"/>
  <ns0:Relationship Id="rId290" Type="http://schemas.openxmlformats.org/officeDocument/2006/relationships/hyperlink" Target="https://my.zakupki.prom.ua/remote/dispatcher/state_purchase_view/21172165" TargetMode="External"/>
  <ns0:Relationship Id="rId291" Type="http://schemas.openxmlformats.org/officeDocument/2006/relationships/hyperlink" Target="https://my.zakupki.prom.ua/remote/dispatcher/state_contracting_view/6387672" TargetMode="External"/>
  <ns0:Relationship Id="rId292" Type="http://schemas.openxmlformats.org/officeDocument/2006/relationships/hyperlink" Target="https://my.zakupki.prom.ua/remote/dispatcher/state_purchase_view/21585706" TargetMode="External"/>
  <ns0:Relationship Id="rId293" Type="http://schemas.openxmlformats.org/officeDocument/2006/relationships/hyperlink" Target="https://my.zakupki.prom.ua/remote/dispatcher/state_contracting_view/6581066" TargetMode="External"/>
  <ns0:Relationship Id="rId294" Type="http://schemas.openxmlformats.org/officeDocument/2006/relationships/hyperlink" Target="https://my.zakupki.prom.ua/remote/dispatcher/state_purchase_view/21104873" TargetMode="External"/>
  <ns0:Relationship Id="rId295" Type="http://schemas.openxmlformats.org/officeDocument/2006/relationships/hyperlink" Target="https://my.zakupki.prom.ua/remote/dispatcher/state_contracting_view/6356266" TargetMode="External"/>
  <ns0:Relationship Id="rId296" Type="http://schemas.openxmlformats.org/officeDocument/2006/relationships/hyperlink" Target="https://my.zakupki.prom.ua/remote/dispatcher/state_purchase_view/15494469" TargetMode="External"/>
  <ns0:Relationship Id="rId297" Type="http://schemas.openxmlformats.org/officeDocument/2006/relationships/hyperlink" Target="https://my.zakupki.prom.ua/remote/dispatcher/state_contracting_view/3929293" TargetMode="External"/>
  <ns0:Relationship Id="rId298" Type="http://schemas.openxmlformats.org/officeDocument/2006/relationships/hyperlink" Target="https://my.zakupki.prom.ua/remote/dispatcher/state_purchase_view/15396816" TargetMode="External"/>
  <ns0:Relationship Id="rId299" Type="http://schemas.openxmlformats.org/officeDocument/2006/relationships/hyperlink" Target="https://my.zakupki.prom.ua/remote/dispatcher/state_contracting_view/3830084" TargetMode="External"/>
  <ns0:Relationship Id="rId300" Type="http://schemas.openxmlformats.org/officeDocument/2006/relationships/hyperlink" Target="https://my.zakupki.prom.ua/remote/dispatcher/state_purchase_view/15398137" TargetMode="External"/>
  <ns0:Relationship Id="rId301" Type="http://schemas.openxmlformats.org/officeDocument/2006/relationships/hyperlink" Target="https://my.zakupki.prom.ua/remote/dispatcher/state_contracting_view/3830524" TargetMode="External"/>
  <ns0:Relationship Id="rId302" Type="http://schemas.openxmlformats.org/officeDocument/2006/relationships/hyperlink" Target="https://my.zakupki.prom.ua/remote/dispatcher/state_purchase_view/14989658" TargetMode="External"/>
  <ns0:Relationship Id="rId303" Type="http://schemas.openxmlformats.org/officeDocument/2006/relationships/hyperlink" Target="https://my.zakupki.prom.ua/remote/dispatcher/state_contracting_view/3726420" TargetMode="External"/>
  <ns0:Relationship Id="rId304" Type="http://schemas.openxmlformats.org/officeDocument/2006/relationships/hyperlink" Target="https://my.zakupki.prom.ua/remote/dispatcher/state_purchase_view/15698874" TargetMode="External"/>
  <ns0:Relationship Id="rId305" Type="http://schemas.openxmlformats.org/officeDocument/2006/relationships/hyperlink" Target="https://my.zakupki.prom.ua/remote/dispatcher/state_contracting_view/3918723" TargetMode="External"/>
  <ns0:Relationship Id="rId306" Type="http://schemas.openxmlformats.org/officeDocument/2006/relationships/hyperlink" Target="https://my.zakupki.prom.ua/remote/dispatcher/state_purchase_view/16393192" TargetMode="External"/>
  <ns0:Relationship Id="rId307" Type="http://schemas.openxmlformats.org/officeDocument/2006/relationships/hyperlink" Target="https://my.zakupki.prom.ua/remote/dispatcher/state_contracting_view/4154231" TargetMode="External"/>
  <ns0:Relationship Id="rId308" Type="http://schemas.openxmlformats.org/officeDocument/2006/relationships/hyperlink" Target="https://my.zakupki.prom.ua/remote/dispatcher/state_purchase_view/16860308" TargetMode="External"/>
  <ns0:Relationship Id="rId309" Type="http://schemas.openxmlformats.org/officeDocument/2006/relationships/hyperlink" Target="https://my.zakupki.prom.ua/remote/dispatcher/state_contracting_view/4367207" TargetMode="External"/>
  <ns0:Relationship Id="rId310" Type="http://schemas.openxmlformats.org/officeDocument/2006/relationships/hyperlink" Target="https://my.zakupki.prom.ua/remote/dispatcher/state_purchase_view/16877704" TargetMode="External"/>
  <ns0:Relationship Id="rId311" Type="http://schemas.openxmlformats.org/officeDocument/2006/relationships/hyperlink" Target="https://my.zakupki.prom.ua/remote/dispatcher/state_contracting_view/4368175" TargetMode="External"/>
  <ns0:Relationship Id="rId312" Type="http://schemas.openxmlformats.org/officeDocument/2006/relationships/hyperlink" Target="https://my.zakupki.prom.ua/remote/dispatcher/state_purchase_view/15673392" TargetMode="External"/>
  <ns0:Relationship Id="rId313" Type="http://schemas.openxmlformats.org/officeDocument/2006/relationships/hyperlink" Target="https://my.zakupki.prom.ua/remote/dispatcher/state_contracting_view/3910752" TargetMode="External"/>
  <ns0:Relationship Id="rId314" Type="http://schemas.openxmlformats.org/officeDocument/2006/relationships/hyperlink" Target="https://my.zakupki.prom.ua/remote/dispatcher/state_purchase_view/16509428" TargetMode="External"/>
  <ns0:Relationship Id="rId315" Type="http://schemas.openxmlformats.org/officeDocument/2006/relationships/hyperlink" Target="https://my.zakupki.prom.ua/remote/dispatcher/state_contracting_view/4206012" TargetMode="External"/>
  <ns0:Relationship Id="rId316" Type="http://schemas.openxmlformats.org/officeDocument/2006/relationships/hyperlink" Target="https://my.zakupki.prom.ua/remote/dispatcher/state_purchase_view/16206470" TargetMode="External"/>
  <ns0:Relationship Id="rId317" Type="http://schemas.openxmlformats.org/officeDocument/2006/relationships/hyperlink" Target="https://my.zakupki.prom.ua/remote/dispatcher/state_contracting_view/4124310" TargetMode="External"/>
  <ns0:Relationship Id="rId318" Type="http://schemas.openxmlformats.org/officeDocument/2006/relationships/hyperlink" Target="https://my.zakupki.prom.ua/remote/dispatcher/state_purchase_view/16402499" TargetMode="External"/>
  <ns0:Relationship Id="rId319" Type="http://schemas.openxmlformats.org/officeDocument/2006/relationships/hyperlink" Target="https://my.zakupki.prom.ua/remote/dispatcher/state_contracting_view/4157797" TargetMode="External"/>
  <ns0:Relationship Id="rId320" Type="http://schemas.openxmlformats.org/officeDocument/2006/relationships/hyperlink" Target="https://my.zakupki.prom.ua/remote/dispatcher/state_purchase_view/16408279" TargetMode="External"/>
  <ns0:Relationship Id="rId321" Type="http://schemas.openxmlformats.org/officeDocument/2006/relationships/hyperlink" Target="https://my.zakupki.prom.ua/remote/dispatcher/state_contracting_view/4159496" TargetMode="External"/>
  <ns0:Relationship Id="rId322" Type="http://schemas.openxmlformats.org/officeDocument/2006/relationships/hyperlink" Target="https://my.zakupki.prom.ua/remote/dispatcher/state_purchase_view/17235370" TargetMode="External"/>
  <ns0:Relationship Id="rId323" Type="http://schemas.openxmlformats.org/officeDocument/2006/relationships/hyperlink" Target="https://my.zakupki.prom.ua/remote/dispatcher/state_contracting_view/4530803" TargetMode="External"/>
  <ns0:Relationship Id="rId324" Type="http://schemas.openxmlformats.org/officeDocument/2006/relationships/hyperlink" Target="https://my.zakupki.prom.ua/remote/dispatcher/state_purchase_view/17727352" TargetMode="External"/>
  <ns0:Relationship Id="rId325" Type="http://schemas.openxmlformats.org/officeDocument/2006/relationships/hyperlink" Target="https://my.zakupki.prom.ua/remote/dispatcher/state_contracting_view/4758824" TargetMode="External"/>
  <ns0:Relationship Id="rId326" Type="http://schemas.openxmlformats.org/officeDocument/2006/relationships/hyperlink" Target="https://my.zakupki.prom.ua/remote/dispatcher/state_purchase_view/17670887" TargetMode="External"/>
  <ns0:Relationship Id="rId327" Type="http://schemas.openxmlformats.org/officeDocument/2006/relationships/hyperlink" Target="https://my.zakupki.prom.ua/remote/dispatcher/state_contracting_view/4732666" TargetMode="External"/>
  <ns0:Relationship Id="rId328" Type="http://schemas.openxmlformats.org/officeDocument/2006/relationships/hyperlink" Target="https://my.zakupki.prom.ua/remote/dispatcher/state_purchase_view/18848444" TargetMode="External"/>
  <ns0:Relationship Id="rId329" Type="http://schemas.openxmlformats.org/officeDocument/2006/relationships/hyperlink" Target="https://my.zakupki.prom.ua/remote/dispatcher/state_contracting_view/5285481" TargetMode="External"/>
  <ns0:Relationship Id="rId330" Type="http://schemas.openxmlformats.org/officeDocument/2006/relationships/hyperlink" Target="https://my.zakupki.prom.ua/remote/dispatcher/state_purchase_view/17982144" TargetMode="External"/>
  <ns0:Relationship Id="rId331" Type="http://schemas.openxmlformats.org/officeDocument/2006/relationships/hyperlink" Target="https://my.zakupki.prom.ua/remote/dispatcher/state_contracting_view/4877473" TargetMode="External"/>
  <ns0:Relationship Id="rId332" Type="http://schemas.openxmlformats.org/officeDocument/2006/relationships/hyperlink" Target="https://my.zakupki.prom.ua/remote/dispatcher/state_purchase_view/18981684" TargetMode="External"/>
  <ns0:Relationship Id="rId333" Type="http://schemas.openxmlformats.org/officeDocument/2006/relationships/hyperlink" Target="https://my.zakupki.prom.ua/remote/dispatcher/state_contracting_view/5347167" TargetMode="External"/>
  <ns0:Relationship Id="rId334" Type="http://schemas.openxmlformats.org/officeDocument/2006/relationships/hyperlink" Target="https://my.zakupki.prom.ua/remote/dispatcher/state_purchase_view/18983590" TargetMode="External"/>
  <ns0:Relationship Id="rId335" Type="http://schemas.openxmlformats.org/officeDocument/2006/relationships/hyperlink" Target="https://my.zakupki.prom.ua/remote/dispatcher/state_contracting_view/5348349" TargetMode="External"/>
  <ns0:Relationship Id="rId336" Type="http://schemas.openxmlformats.org/officeDocument/2006/relationships/hyperlink" Target="https://my.zakupki.prom.ua/remote/dispatcher/state_purchase_view/19047007" TargetMode="External"/>
  <ns0:Relationship Id="rId337" Type="http://schemas.openxmlformats.org/officeDocument/2006/relationships/hyperlink" Target="https://my.zakupki.prom.ua/remote/dispatcher/state_contracting_view/5378162" TargetMode="External"/>
  <ns0:Relationship Id="rId338" Type="http://schemas.openxmlformats.org/officeDocument/2006/relationships/hyperlink" Target="https://my.zakupki.prom.ua/remote/dispatcher/state_purchase_view/19696698" TargetMode="External"/>
  <ns0:Relationship Id="rId339" Type="http://schemas.openxmlformats.org/officeDocument/2006/relationships/hyperlink" Target="https://my.zakupki.prom.ua/remote/dispatcher/state_contracting_view/5686819" TargetMode="External"/>
  <ns0:Relationship Id="rId340" Type="http://schemas.openxmlformats.org/officeDocument/2006/relationships/hyperlink" Target="https://my.zakupki.prom.ua/remote/dispatcher/state_purchase_view/19693905" TargetMode="External"/>
  <ns0:Relationship Id="rId341" Type="http://schemas.openxmlformats.org/officeDocument/2006/relationships/hyperlink" Target="https://my.zakupki.prom.ua/remote/dispatcher/state_contracting_view/5685311" TargetMode="External"/>
  <ns0:Relationship Id="rId342" Type="http://schemas.openxmlformats.org/officeDocument/2006/relationships/hyperlink" Target="https://my.zakupki.prom.ua/remote/dispatcher/state_purchase_view/19696153" TargetMode="External"/>
  <ns0:Relationship Id="rId343" Type="http://schemas.openxmlformats.org/officeDocument/2006/relationships/hyperlink" Target="https://my.zakupki.prom.ua/remote/dispatcher/state_contracting_view/5686480" TargetMode="External"/>
  <ns0:Relationship Id="rId344" Type="http://schemas.openxmlformats.org/officeDocument/2006/relationships/hyperlink" Target="https://my.zakupki.prom.ua/remote/dispatcher/state_purchase_view/19924938" TargetMode="External"/>
  <ns0:Relationship Id="rId345" Type="http://schemas.openxmlformats.org/officeDocument/2006/relationships/hyperlink" Target="https://my.zakupki.prom.ua/remote/dispatcher/state_contracting_view/5792257" TargetMode="External"/>
  <ns0:Relationship Id="rId346" Type="http://schemas.openxmlformats.org/officeDocument/2006/relationships/hyperlink" Target="https://my.zakupki.prom.ua/remote/dispatcher/state_purchase_view/19100994" TargetMode="External"/>
  <ns0:Relationship Id="rId347" Type="http://schemas.openxmlformats.org/officeDocument/2006/relationships/hyperlink" Target="https://my.zakupki.prom.ua/remote/dispatcher/state_contracting_view/5840725" TargetMode="External"/>
  <ns0:Relationship Id="rId348" Type="http://schemas.openxmlformats.org/officeDocument/2006/relationships/hyperlink" Target="https://my.zakupki.prom.ua/remote/dispatcher/state_purchase_view/20259691" TargetMode="External"/>
  <ns0:Relationship Id="rId349" Type="http://schemas.openxmlformats.org/officeDocument/2006/relationships/hyperlink" Target="https://my.zakupki.prom.ua/remote/dispatcher/state_contracting_view/5956965" TargetMode="External"/>
  <ns0:Relationship Id="rId350" Type="http://schemas.openxmlformats.org/officeDocument/2006/relationships/hyperlink" Target="https://my.zakupki.prom.ua/remote/dispatcher/state_purchase_view/20205523" TargetMode="External"/>
  <ns0:Relationship Id="rId351" Type="http://schemas.openxmlformats.org/officeDocument/2006/relationships/hyperlink" Target="https://my.zakupki.prom.ua/remote/dispatcher/state_contracting_view/5925432" TargetMode="External"/>
  <ns0:Relationship Id="rId352" Type="http://schemas.openxmlformats.org/officeDocument/2006/relationships/hyperlink" Target="https://my.zakupki.prom.ua/remote/dispatcher/state_purchase_view/20202293" TargetMode="External"/>
  <ns0:Relationship Id="rId353" Type="http://schemas.openxmlformats.org/officeDocument/2006/relationships/hyperlink" Target="https://my.zakupki.prom.ua/remote/dispatcher/state_contracting_view/5924195" TargetMode="External"/>
  <ns0:Relationship Id="rId354" Type="http://schemas.openxmlformats.org/officeDocument/2006/relationships/hyperlink" Target="https://my.zakupki.prom.ua/remote/dispatcher/state_purchase_view/20279744" TargetMode="External"/>
  <ns0:Relationship Id="rId355" Type="http://schemas.openxmlformats.org/officeDocument/2006/relationships/hyperlink" Target="https://my.zakupki.prom.ua/remote/dispatcher/state_contracting_view/5961039" TargetMode="External"/>
  <ns0:Relationship Id="rId356" Type="http://schemas.openxmlformats.org/officeDocument/2006/relationships/hyperlink" Target="https://my.zakupki.prom.ua/remote/dispatcher/state_purchase_view/20532242" TargetMode="External"/>
  <ns0:Relationship Id="rId357" Type="http://schemas.openxmlformats.org/officeDocument/2006/relationships/hyperlink" Target="https://my.zakupki.prom.ua/remote/dispatcher/state_contracting_view/6086036" TargetMode="External"/>
  <ns0:Relationship Id="rId358" Type="http://schemas.openxmlformats.org/officeDocument/2006/relationships/hyperlink" Target="https://my.zakupki.prom.ua/remote/dispatcher/state_purchase_view/20595054" TargetMode="External"/>
  <ns0:Relationship Id="rId359" Type="http://schemas.openxmlformats.org/officeDocument/2006/relationships/hyperlink" Target="https://my.zakupki.prom.ua/remote/dispatcher/state_contracting_view/6115844" TargetMode="External"/>
  <ns0:Relationship Id="rId360" Type="http://schemas.openxmlformats.org/officeDocument/2006/relationships/hyperlink" Target="https://my.zakupki.prom.ua/remote/dispatcher/state_purchase_view/20576984" TargetMode="External"/>
  <ns0:Relationship Id="rId361" Type="http://schemas.openxmlformats.org/officeDocument/2006/relationships/hyperlink" Target="https://my.zakupki.prom.ua/remote/dispatcher/state_contracting_view/6109656" TargetMode="External"/>
  <ns0:Relationship Id="rId362" Type="http://schemas.openxmlformats.org/officeDocument/2006/relationships/hyperlink" Target="https://my.zakupki.prom.ua/remote/dispatcher/state_purchase_view/20881548" TargetMode="External"/>
  <ns0:Relationship Id="rId363" Type="http://schemas.openxmlformats.org/officeDocument/2006/relationships/hyperlink" Target="https://my.zakupki.prom.ua/remote/dispatcher/state_contracting_view/6251699" TargetMode="External"/>
  <ns0:Relationship Id="rId364" Type="http://schemas.openxmlformats.org/officeDocument/2006/relationships/hyperlink" Target="https://my.zakupki.prom.ua/remote/dispatcher/state_purchase_view/18262399" TargetMode="External"/>
  <ns0:Relationship Id="rId365" Type="http://schemas.openxmlformats.org/officeDocument/2006/relationships/hyperlink" Target="https://my.zakupki.prom.ua/remote/dispatcher/state_contracting_view/5076685" TargetMode="External"/>
  <ns0:Relationship Id="rId366" Type="http://schemas.openxmlformats.org/officeDocument/2006/relationships/hyperlink" Target="https://my.zakupki.prom.ua/remote/dispatcher/state_purchase_view/18462094" TargetMode="External"/>
  <ns0:Relationship Id="rId367" Type="http://schemas.openxmlformats.org/officeDocument/2006/relationships/hyperlink" Target="https://my.zakupki.prom.ua/remote/dispatcher/state_contracting_view/5153582" TargetMode="External"/>
  <ns0:Relationship Id="rId368" Type="http://schemas.openxmlformats.org/officeDocument/2006/relationships/hyperlink" Target="https://my.zakupki.prom.ua/remote/dispatcher/state_purchase_view/18456053" TargetMode="External"/>
  <ns0:Relationship Id="rId369" Type="http://schemas.openxmlformats.org/officeDocument/2006/relationships/hyperlink" Target="https://my.zakupki.prom.ua/remote/dispatcher/state_contracting_view/5153615" TargetMode="External"/>
  <ns0:Relationship Id="rId370" Type="http://schemas.openxmlformats.org/officeDocument/2006/relationships/hyperlink" Target="https://my.zakupki.prom.ua/remote/dispatcher/state_purchase_view/18644055" TargetMode="External"/>
  <ns0:Relationship Id="rId371" Type="http://schemas.openxmlformats.org/officeDocument/2006/relationships/hyperlink" Target="https://my.zakupki.prom.ua/remote/dispatcher/state_contracting_view/5186451" TargetMode="External"/>
  <ns0:Relationship Id="rId372" Type="http://schemas.openxmlformats.org/officeDocument/2006/relationships/hyperlink" Target="https://my.zakupki.prom.ua/remote/dispatcher/state_purchase_view/18651821" TargetMode="External"/>
  <ns0:Relationship Id="rId373" Type="http://schemas.openxmlformats.org/officeDocument/2006/relationships/hyperlink" Target="https://my.zakupki.prom.ua/remote/dispatcher/state_contracting_view/5190243" TargetMode="External"/>
  <ns0:Relationship Id="rId374" Type="http://schemas.openxmlformats.org/officeDocument/2006/relationships/hyperlink" Target="https://my.zakupki.prom.ua/remote/dispatcher/state_purchase_view/18618069" TargetMode="External"/>
  <ns0:Relationship Id="rId375" Type="http://schemas.openxmlformats.org/officeDocument/2006/relationships/hyperlink" Target="https://my.zakupki.prom.ua/remote/dispatcher/state_contracting_view/5174203" TargetMode="External"/>
  <ns0:Relationship Id="rId376" Type="http://schemas.openxmlformats.org/officeDocument/2006/relationships/hyperlink" Target="https://my.zakupki.prom.ua/remote/dispatcher/state_purchase_view/19212040" TargetMode="External"/>
  <ns0:Relationship Id="rId377" Type="http://schemas.openxmlformats.org/officeDocument/2006/relationships/hyperlink" Target="https://my.zakupki.prom.ua/remote/dispatcher/state_contracting_view/5455897" TargetMode="External"/>
  <ns0:Relationship Id="rId378" Type="http://schemas.openxmlformats.org/officeDocument/2006/relationships/hyperlink" Target="https://my.zakupki.prom.ua/remote/dispatcher/state_purchase_view/19351865" TargetMode="External"/>
  <ns0:Relationship Id="rId379" Type="http://schemas.openxmlformats.org/officeDocument/2006/relationships/hyperlink" Target="https://my.zakupki.prom.ua/remote/dispatcher/state_contracting_view/5522801" TargetMode="External"/>
  <ns0:Relationship Id="rId380" Type="http://schemas.openxmlformats.org/officeDocument/2006/relationships/hyperlink" Target="https://my.zakupki.prom.ua/remote/dispatcher/state_purchase_view/19424452" TargetMode="External"/>
  <ns0:Relationship Id="rId381" Type="http://schemas.openxmlformats.org/officeDocument/2006/relationships/hyperlink" Target="https://my.zakupki.prom.ua/remote/dispatcher/state_contracting_view/5557208" TargetMode="External"/>
  <ns0:Relationship Id="rId382" Type="http://schemas.openxmlformats.org/officeDocument/2006/relationships/hyperlink" Target="https://my.zakupki.prom.ua/remote/dispatcher/state_purchase_view/17888627" TargetMode="External"/>
  <ns0:Relationship Id="rId383" Type="http://schemas.openxmlformats.org/officeDocument/2006/relationships/hyperlink" Target="https://my.zakupki.prom.ua/remote/dispatcher/state_contracting_view/4833474" TargetMode="External"/>
  <ns0:Relationship Id="rId384" Type="http://schemas.openxmlformats.org/officeDocument/2006/relationships/hyperlink" Target="https://my.zakupki.prom.ua/remote/dispatcher/state_purchase_view/17888943" TargetMode="External"/>
  <ns0:Relationship Id="rId385" Type="http://schemas.openxmlformats.org/officeDocument/2006/relationships/hyperlink" Target="https://my.zakupki.prom.ua/remote/dispatcher/state_contracting_view/4833659" TargetMode="External"/>
  <ns0:Relationship Id="rId386" Type="http://schemas.openxmlformats.org/officeDocument/2006/relationships/hyperlink" Target="https://my.zakupki.prom.ua/remote/dispatcher/state_purchase_view/18027521" TargetMode="External"/>
  <ns0:Relationship Id="rId387" Type="http://schemas.openxmlformats.org/officeDocument/2006/relationships/hyperlink" Target="https://my.zakupki.prom.ua/remote/dispatcher/state_contracting_view/4898773" TargetMode="External"/>
  <ns0:Relationship Id="rId388" Type="http://schemas.openxmlformats.org/officeDocument/2006/relationships/hyperlink" Target="https://my.zakupki.prom.ua/remote/dispatcher/state_purchase_view/18301295" TargetMode="External"/>
  <ns0:Relationship Id="rId389" Type="http://schemas.openxmlformats.org/officeDocument/2006/relationships/hyperlink" Target="https://my.zakupki.prom.ua/remote/dispatcher/state_contracting_view/5025742" TargetMode="External"/>
  <ns0:Relationship Id="rId390" Type="http://schemas.openxmlformats.org/officeDocument/2006/relationships/hyperlink" Target="https://my.zakupki.prom.ua/remote/dispatcher/state_purchase_view/21397572" TargetMode="External"/>
  <ns0:Relationship Id="rId391" Type="http://schemas.openxmlformats.org/officeDocument/2006/relationships/hyperlink" Target="https://my.zakupki.prom.ua/remote/dispatcher/state_contracting_view/6493071" TargetMode="External"/>
  <ns0:Relationship Id="rId392" Type="http://schemas.openxmlformats.org/officeDocument/2006/relationships/hyperlink" Target="https://my.zakupki.prom.ua/remote/dispatcher/state_purchase_view/17542364" TargetMode="External"/>
  <ns0:Relationship Id="rId393" Type="http://schemas.openxmlformats.org/officeDocument/2006/relationships/hyperlink" Target="https://my.zakupki.prom.ua/remote/dispatcher/state_contracting_view/4675833" TargetMode="External"/>
  <ns0:Relationship Id="rId394" Type="http://schemas.openxmlformats.org/officeDocument/2006/relationships/hyperlink" Target="https://my.zakupki.prom.ua/remote/dispatcher/state_purchase_view/18060692" TargetMode="External"/>
  <ns0:Relationship Id="rId395" Type="http://schemas.openxmlformats.org/officeDocument/2006/relationships/hyperlink" Target="https://my.zakupki.prom.ua/remote/dispatcher/state_contracting_view/4914128" TargetMode="External"/>
  <ns0:Relationship Id="rId396" Type="http://schemas.openxmlformats.org/officeDocument/2006/relationships/hyperlink" Target="https://my.zakupki.prom.ua/remote/dispatcher/state_purchase_view/18049740" TargetMode="External"/>
  <ns0:Relationship Id="rId397" Type="http://schemas.openxmlformats.org/officeDocument/2006/relationships/hyperlink" Target="https://my.zakupki.prom.ua/remote/dispatcher/state_contracting_view/4908751" TargetMode="External"/>
  <ns0:Relationship Id="rId398" Type="http://schemas.openxmlformats.org/officeDocument/2006/relationships/hyperlink" Target="https://my.zakupki.prom.ua/remote/dispatcher/state_purchase_view/21285343" TargetMode="External"/>
  <ns0:Relationship Id="rId399" Type="http://schemas.openxmlformats.org/officeDocument/2006/relationships/hyperlink" Target="https://my.zakupki.prom.ua/remote/dispatcher/state_contracting_view/6440262" TargetMode="External"/>
  <ns0:Relationship Id="rId400" Type="http://schemas.openxmlformats.org/officeDocument/2006/relationships/hyperlink" Target="https://my.zakupki.prom.ua/remote/dispatcher/state_purchase_view/21360153" TargetMode="External"/>
  <ns0:Relationship Id="rId401" Type="http://schemas.openxmlformats.org/officeDocument/2006/relationships/hyperlink" Target="https://my.zakupki.prom.ua/remote/dispatcher/state_contracting_view/6563709" TargetMode="External"/>
  <ns0:Relationship Id="rId402" Type="http://schemas.openxmlformats.org/officeDocument/2006/relationships/hyperlink" Target="https://my.zakupki.prom.ua/remote/dispatcher/state_purchase_view/21596872" TargetMode="External"/>
  <ns0:Relationship Id="rId403" Type="http://schemas.openxmlformats.org/officeDocument/2006/relationships/hyperlink" Target="https://my.zakupki.prom.ua/remote/dispatcher/state_contracting_view/6586320" TargetMode="External"/>
  <ns0:Relationship Id="rId404" Type="http://schemas.openxmlformats.org/officeDocument/2006/relationships/hyperlink" Target="https://my.zakupki.prom.ua/remote/dispatcher/state_purchase_view/21587403" TargetMode="External"/>
  <ns0:Relationship Id="rId405" Type="http://schemas.openxmlformats.org/officeDocument/2006/relationships/hyperlink" Target="https://my.zakupki.prom.ua/remote/dispatcher/state_contracting_view/6581588" TargetMode="External"/>
  <ns0:Relationship Id="rId406" Type="http://schemas.openxmlformats.org/officeDocument/2006/relationships/hyperlink" Target="https://my.zakupki.prom.ua/remote/dispatcher/state_purchase_view/22110848" TargetMode="External"/>
  <ns0:Relationship Id="rId407" Type="http://schemas.openxmlformats.org/officeDocument/2006/relationships/hyperlink" Target="https://my.zakupki.prom.ua/remote/dispatcher/state_contracting_view/6828318" TargetMode="External"/>
  <ns0:Relationship Id="rId408" Type="http://schemas.openxmlformats.org/officeDocument/2006/relationships/hyperlink" Target="https://my.zakupki.prom.ua/remote/dispatcher/state_purchase_view/21518991" TargetMode="External"/>
  <ns0:Relationship Id="rId409" Type="http://schemas.openxmlformats.org/officeDocument/2006/relationships/hyperlink" Target="https://my.zakupki.prom.ua/remote/dispatcher/state_contracting_view/6549882" TargetMode="External"/>
  <ns0:Relationship Id="rId410" Type="http://schemas.openxmlformats.org/officeDocument/2006/relationships/hyperlink" Target="https://my.zakupki.prom.ua/remote/dispatcher/state_purchase_view/20897772" TargetMode="External"/>
  <ns0:Relationship Id="rId411" Type="http://schemas.openxmlformats.org/officeDocument/2006/relationships/hyperlink" Target="https://my.zakupki.prom.ua/remote/dispatcher/state_contracting_view/6261345" TargetMode="External"/>
  <ns0:Relationship Id="rId412" Type="http://schemas.openxmlformats.org/officeDocument/2006/relationships/hyperlink" Target="https://my.zakupki.prom.ua/remote/dispatcher/state_purchase_view/21121946" TargetMode="External"/>
  <ns0:Relationship Id="rId413" Type="http://schemas.openxmlformats.org/officeDocument/2006/relationships/hyperlink" Target="https://my.zakupki.prom.ua/remote/dispatcher/state_contracting_view/6364696" TargetMode="External"/>
  <ns0:Relationship Id="rId414" Type="http://schemas.openxmlformats.org/officeDocument/2006/relationships/hyperlink" Target="https://my.zakupki.prom.ua/remote/dispatcher/state_purchase_view/21110688" TargetMode="External"/>
  <ns0:Relationship Id="rId415" Type="http://schemas.openxmlformats.org/officeDocument/2006/relationships/hyperlink" Target="https://my.zakupki.prom.ua/remote/dispatcher/state_contracting_view/6359222" TargetMode="External"/>
  <ns0:Relationship Id="rId416" Type="http://schemas.openxmlformats.org/officeDocument/2006/relationships/hyperlink" Target="https://my.zakupki.prom.ua/remote/dispatcher/state_purchase_view/21108636" TargetMode="External"/>
  <ns0:Relationship Id="rId417" Type="http://schemas.openxmlformats.org/officeDocument/2006/relationships/hyperlink" Target="https://my.zakupki.prom.ua/remote/dispatcher/state_contracting_view/6358126" TargetMode="External"/>
  <ns0:Relationship Id="rId418" Type="http://schemas.openxmlformats.org/officeDocument/2006/relationships/hyperlink" Target="https://my.zakupki.prom.ua/remote/dispatcher/state_purchase_view/22774432" TargetMode="External"/>
  <ns0:Relationship Id="rId419" Type="http://schemas.openxmlformats.org/officeDocument/2006/relationships/hyperlink" Target="https://my.zakupki.prom.ua/remote/dispatcher/state_contracting_view/7150910" TargetMode="External"/>
  <ns0:Relationship Id="rId420" Type="http://schemas.openxmlformats.org/officeDocument/2006/relationships/hyperlink" Target="https://my.zakupki.prom.ua/remote/dispatcher/state_purchase_view/22755838" TargetMode="External"/>
  <ns0:Relationship Id="rId421" Type="http://schemas.openxmlformats.org/officeDocument/2006/relationships/hyperlink" Target="https://my.zakupki.prom.ua/remote/dispatcher/state_contracting_view/7146485" TargetMode="External"/>
  <ns0:Relationship Id="rId422" Type="http://schemas.openxmlformats.org/officeDocument/2006/relationships/hyperlink" Target="https://my.zakupki.prom.ua/remote/dispatcher/state_purchase_view/20986642" TargetMode="External"/>
  <ns0:Relationship Id="rId423" Type="http://schemas.openxmlformats.org/officeDocument/2006/relationships/hyperlink" Target="https://my.zakupki.prom.ua/remote/dispatcher/state_contracting_view/6301725" TargetMode="External"/>
  <ns0:Relationship Id="rId424" Type="http://schemas.openxmlformats.org/officeDocument/2006/relationships/hyperlink" Target="https://my.zakupki.prom.ua/remote/dispatcher/state_purchase_view/20985507" TargetMode="External"/>
  <ns0:Relationship Id="rId425" Type="http://schemas.openxmlformats.org/officeDocument/2006/relationships/hyperlink" Target="https://my.zakupki.prom.ua/remote/dispatcher/state_contracting_view/6301360" TargetMode="External"/>
  <ns0:Relationship Id="rId426" Type="http://schemas.openxmlformats.org/officeDocument/2006/relationships/hyperlink" Target="https://my.zakupki.prom.ua/remote/dispatcher/state_purchase_view/22748085" TargetMode="External"/>
  <ns0:Relationship Id="rId427" Type="http://schemas.openxmlformats.org/officeDocument/2006/relationships/hyperlink" Target="https://my.zakupki.prom.ua/remote/dispatcher/state_contracting_view/7138069" TargetMode="External"/>
  <ns0:Relationship Id="rId428" Type="http://schemas.openxmlformats.org/officeDocument/2006/relationships/hyperlink" Target="https://my.zakupki.prom.ua/remote/dispatcher/state_purchase_view/22748287" TargetMode="External"/>
  <ns0:Relationship Id="rId429" Type="http://schemas.openxmlformats.org/officeDocument/2006/relationships/hyperlink" Target="https://my.zakupki.prom.ua/remote/dispatcher/state_contracting_view/7138129" TargetMode="External"/>
  <ns0:Relationship Id="rId430" Type="http://schemas.openxmlformats.org/officeDocument/2006/relationships/hyperlink" Target="https://my.zakupki.prom.ua/remote/dispatcher/state_purchase_view/22726415" TargetMode="External"/>
  <ns0:Relationship Id="rId431" Type="http://schemas.openxmlformats.org/officeDocument/2006/relationships/hyperlink" Target="https://my.zakupki.prom.ua/remote/dispatcher/state_contracting_view/7127545" TargetMode="External"/>
  <ns0:Relationship Id="rId432" Type="http://schemas.openxmlformats.org/officeDocument/2006/relationships/hyperlink" Target="https://my.zakupki.prom.ua/remote/dispatcher/state_purchase_view/22734665" TargetMode="External"/>
  <ns0:Relationship Id="rId433" Type="http://schemas.openxmlformats.org/officeDocument/2006/relationships/hyperlink" Target="https://my.zakupki.prom.ua/remote/dispatcher/state_contracting_view/7131469" TargetMode="External"/>
  <ns0:Relationship Id="rId434" Type="http://schemas.openxmlformats.org/officeDocument/2006/relationships/hyperlink" Target="https://my.zakupki.prom.ua/remote/dispatcher/state_purchase_view/22700230" TargetMode="External"/>
  <ns0:Relationship Id="rId435" Type="http://schemas.openxmlformats.org/officeDocument/2006/relationships/hyperlink" Target="https://my.zakupki.prom.ua/remote/dispatcher/state_contracting_view/7114276" TargetMode="External"/>
  <ns0:Relationship Id="rId436" Type="http://schemas.openxmlformats.org/officeDocument/2006/relationships/hyperlink" Target="https://my.zakupki.prom.ua/remote/dispatcher/state_purchase_view/16542464" TargetMode="External"/>
  <ns0:Relationship Id="rId437" Type="http://schemas.openxmlformats.org/officeDocument/2006/relationships/hyperlink" Target="https://my.zakupki.prom.ua/remote/dispatcher/state_contracting_view/4220375" TargetMode="External"/>
  <ns0:Relationship Id="rId438" Type="http://schemas.openxmlformats.org/officeDocument/2006/relationships/hyperlink" Target="https://my.zakupki.prom.ua/remote/dispatcher/state_purchase_view/16002758" TargetMode="External"/>
  <ns0:Relationship Id="rId439" Type="http://schemas.openxmlformats.org/officeDocument/2006/relationships/hyperlink" Target="https://my.zakupki.prom.ua/remote/dispatcher/state_contracting_view/4016070" TargetMode="External"/>
  <ns0:Relationship Id="rId440" Type="http://schemas.openxmlformats.org/officeDocument/2006/relationships/hyperlink" Target="https://my.zakupki.prom.ua/remote/dispatcher/state_purchase_view/16130893" TargetMode="External"/>
  <ns0:Relationship Id="rId441" Type="http://schemas.openxmlformats.org/officeDocument/2006/relationships/hyperlink" Target="https://my.zakupki.prom.ua/remote/dispatcher/state_contracting_view/4060864" TargetMode="External"/>
  <ns0:Relationship Id="rId442" Type="http://schemas.openxmlformats.org/officeDocument/2006/relationships/hyperlink" Target="https://my.zakupki.prom.ua/remote/dispatcher/state_purchase_view/16322522" TargetMode="External"/>
  <ns0:Relationship Id="rId443" Type="http://schemas.openxmlformats.org/officeDocument/2006/relationships/hyperlink" Target="https://my.zakupki.prom.ua/remote/dispatcher/state_contracting_view/4127959" TargetMode="External"/>
  <ns0:Relationship Id="rId444" Type="http://schemas.openxmlformats.org/officeDocument/2006/relationships/hyperlink" Target="https://my.zakupki.prom.ua/remote/dispatcher/state_purchase_view/16491624" TargetMode="External"/>
  <ns0:Relationship Id="rId445" Type="http://schemas.openxmlformats.org/officeDocument/2006/relationships/hyperlink" Target="https://my.zakupki.prom.ua/remote/dispatcher/state_contracting_view/4197903" TargetMode="External"/>
  <ns0:Relationship Id="rId446" Type="http://schemas.openxmlformats.org/officeDocument/2006/relationships/hyperlink" Target="https://my.zakupki.prom.ua/remote/dispatcher/state_purchase_view/15675222" TargetMode="External"/>
  <ns0:Relationship Id="rId447" Type="http://schemas.openxmlformats.org/officeDocument/2006/relationships/hyperlink" Target="https://my.zakupki.prom.ua/remote/dispatcher/state_contracting_view/3911570" TargetMode="External"/>
  <ns0:Relationship Id="rId448" Type="http://schemas.openxmlformats.org/officeDocument/2006/relationships/hyperlink" Target="https://my.zakupki.prom.ua/remote/dispatcher/state_purchase_view/15396071" TargetMode="External"/>
  <ns0:Relationship Id="rId449" Type="http://schemas.openxmlformats.org/officeDocument/2006/relationships/hyperlink" Target="https://my.zakupki.prom.ua/remote/dispatcher/state_contracting_view/3829877" TargetMode="External"/>
  <ns0:Relationship Id="rId450" Type="http://schemas.openxmlformats.org/officeDocument/2006/relationships/hyperlink" Target="https://my.zakupki.prom.ua/remote/dispatcher/state_purchase_view/17033263" TargetMode="External"/>
  <ns0:Relationship Id="rId451" Type="http://schemas.openxmlformats.org/officeDocument/2006/relationships/hyperlink" Target="https://my.zakupki.prom.ua/remote/dispatcher/state_contracting_view/4437835" TargetMode="External"/>
  <ns0:Relationship Id="rId452" Type="http://schemas.openxmlformats.org/officeDocument/2006/relationships/hyperlink" Target="https://my.zakupki.prom.ua/remote/dispatcher/state_purchase_view/16906364" TargetMode="External"/>
  <ns0:Relationship Id="rId453" Type="http://schemas.openxmlformats.org/officeDocument/2006/relationships/hyperlink" Target="https://my.zakupki.prom.ua/remote/dispatcher/state_contracting_view/4382907" TargetMode="External"/>
  <ns0:Relationship Id="rId454" Type="http://schemas.openxmlformats.org/officeDocument/2006/relationships/hyperlink" Target="https://my.zakupki.prom.ua/remote/dispatcher/state_purchase_view/16933056" TargetMode="External"/>
  <ns0:Relationship Id="rId455" Type="http://schemas.openxmlformats.org/officeDocument/2006/relationships/hyperlink" Target="https://my.zakupki.prom.ua/remote/dispatcher/state_contracting_view/4392987" TargetMode="External"/>
  <ns0:Relationship Id="rId456" Type="http://schemas.openxmlformats.org/officeDocument/2006/relationships/hyperlink" Target="https://my.zakupki.prom.ua/remote/dispatcher/state_purchase_view/16752075" TargetMode="External"/>
  <ns0:Relationship Id="rId457" Type="http://schemas.openxmlformats.org/officeDocument/2006/relationships/hyperlink" Target="https://my.zakupki.prom.ua/remote/dispatcher/state_contracting_view/4310437" TargetMode="External"/>
  <ns0:Relationship Id="rId458" Type="http://schemas.openxmlformats.org/officeDocument/2006/relationships/hyperlink" Target="https://my.zakupki.prom.ua/remote/dispatcher/state_purchase_view/16751896" TargetMode="External"/>
  <ns0:Relationship Id="rId459" Type="http://schemas.openxmlformats.org/officeDocument/2006/relationships/hyperlink" Target="https://my.zakupki.prom.ua/remote/dispatcher/state_contracting_view/4310494" TargetMode="External"/>
  <ns0:Relationship Id="rId460" Type="http://schemas.openxmlformats.org/officeDocument/2006/relationships/hyperlink" Target="https://my.zakupki.prom.ua/remote/dispatcher/state_purchase_view/17035561" TargetMode="External"/>
  <ns0:Relationship Id="rId461" Type="http://schemas.openxmlformats.org/officeDocument/2006/relationships/hyperlink" Target="https://my.zakupki.prom.ua/remote/dispatcher/state_contracting_view/4439048" TargetMode="External"/>
  <ns0:Relationship Id="rId462" Type="http://schemas.openxmlformats.org/officeDocument/2006/relationships/hyperlink" Target="https://my.zakupki.prom.ua/remote/dispatcher/state_purchase_view/16170806" TargetMode="External"/>
  <ns0:Relationship Id="rId463" Type="http://schemas.openxmlformats.org/officeDocument/2006/relationships/hyperlink" Target="https://my.zakupki.prom.ua/remote/dispatcher/state_contracting_view/4075663" TargetMode="External"/>
  <ns0:Relationship Id="rId464" Type="http://schemas.openxmlformats.org/officeDocument/2006/relationships/hyperlink" Target="https://my.zakupki.prom.ua/remote/dispatcher/state_purchase_view/16726055" TargetMode="External"/>
  <ns0:Relationship Id="rId465" Type="http://schemas.openxmlformats.org/officeDocument/2006/relationships/hyperlink" Target="https://my.zakupki.prom.ua/remote/dispatcher/state_contracting_view/4298716" TargetMode="External"/>
  <ns0:Relationship Id="rId466" Type="http://schemas.openxmlformats.org/officeDocument/2006/relationships/hyperlink" Target="https://my.zakupki.prom.ua/remote/dispatcher/state_purchase_view/16726730" TargetMode="External"/>
  <ns0:Relationship Id="rId467" Type="http://schemas.openxmlformats.org/officeDocument/2006/relationships/hyperlink" Target="https://my.zakupki.prom.ua/remote/dispatcher/state_contracting_view/4298981" TargetMode="External"/>
  <ns0:Relationship Id="rId468" Type="http://schemas.openxmlformats.org/officeDocument/2006/relationships/hyperlink" Target="https://my.zakupki.prom.ua/remote/dispatcher/state_purchase_view/16827600" TargetMode="External"/>
  <ns0:Relationship Id="rId469" Type="http://schemas.openxmlformats.org/officeDocument/2006/relationships/hyperlink" Target="https://my.zakupki.prom.ua/remote/dispatcher/state_contracting_view/4725481" TargetMode="External"/>
  <ns0:Relationship Id="rId470" Type="http://schemas.openxmlformats.org/officeDocument/2006/relationships/hyperlink" Target="https://my.zakupki.prom.ua/remote/dispatcher/state_purchase_view/17564826" TargetMode="External"/>
  <ns0:Relationship Id="rId471" Type="http://schemas.openxmlformats.org/officeDocument/2006/relationships/hyperlink" Target="https://my.zakupki.prom.ua/remote/dispatcher/state_contracting_view/4685493" TargetMode="External"/>
  <ns0:Relationship Id="rId472" Type="http://schemas.openxmlformats.org/officeDocument/2006/relationships/hyperlink" Target="https://my.zakupki.prom.ua/remote/dispatcher/state_purchase_view/17887759" TargetMode="External"/>
  <ns0:Relationship Id="rId473" Type="http://schemas.openxmlformats.org/officeDocument/2006/relationships/hyperlink" Target="https://my.zakupki.prom.ua/remote/dispatcher/state_contracting_view/4833032" TargetMode="External"/>
  <ns0:Relationship Id="rId474" Type="http://schemas.openxmlformats.org/officeDocument/2006/relationships/hyperlink" Target="https://my.zakupki.prom.ua/remote/dispatcher/state_purchase_view/18098512" TargetMode="External"/>
  <ns0:Relationship Id="rId475" Type="http://schemas.openxmlformats.org/officeDocument/2006/relationships/hyperlink" Target="https://my.zakupki.prom.ua/remote/dispatcher/state_contracting_view/4933094" TargetMode="External"/>
  <ns0:Relationship Id="rId476" Type="http://schemas.openxmlformats.org/officeDocument/2006/relationships/hyperlink" Target="https://my.zakupki.prom.ua/remote/dispatcher/state_purchase_view/19231570" TargetMode="External"/>
  <ns0:Relationship Id="rId477" Type="http://schemas.openxmlformats.org/officeDocument/2006/relationships/hyperlink" Target="https://my.zakupki.prom.ua/remote/dispatcher/state_contracting_view/5466015" TargetMode="External"/>
  <ns0:Relationship Id="rId478" Type="http://schemas.openxmlformats.org/officeDocument/2006/relationships/hyperlink" Target="https://my.zakupki.prom.ua/remote/dispatcher/state_purchase_view/19347928" TargetMode="External"/>
  <ns0:Relationship Id="rId479" Type="http://schemas.openxmlformats.org/officeDocument/2006/relationships/hyperlink" Target="https://my.zakupki.prom.ua/remote/dispatcher/state_contracting_view/5520975" TargetMode="External"/>
  <ns0:Relationship Id="rId480" Type="http://schemas.openxmlformats.org/officeDocument/2006/relationships/hyperlink" Target="https://my.zakupki.prom.ua/remote/dispatcher/state_purchase_view/19113087" TargetMode="External"/>
  <ns0:Relationship Id="rId481" Type="http://schemas.openxmlformats.org/officeDocument/2006/relationships/hyperlink" Target="https://my.zakupki.prom.ua/remote/dispatcher/state_contracting_view/5409740" TargetMode="External"/>
  <ns0:Relationship Id="rId482" Type="http://schemas.openxmlformats.org/officeDocument/2006/relationships/hyperlink" Target="https://my.zakupki.prom.ua/remote/dispatcher/state_purchase_view/19373284" TargetMode="External"/>
  <ns0:Relationship Id="rId483" Type="http://schemas.openxmlformats.org/officeDocument/2006/relationships/hyperlink" Target="https://my.zakupki.prom.ua/remote/dispatcher/state_contracting_view/5534687" TargetMode="External"/>
  <ns0:Relationship Id="rId484" Type="http://schemas.openxmlformats.org/officeDocument/2006/relationships/hyperlink" Target="https://my.zakupki.prom.ua/remote/dispatcher/state_purchase_view/17354460" TargetMode="External"/>
  <ns0:Relationship Id="rId485" Type="http://schemas.openxmlformats.org/officeDocument/2006/relationships/hyperlink" Target="https://my.zakupki.prom.ua/remote/dispatcher/state_contracting_view/4585656" TargetMode="External"/>
  <ns0:Relationship Id="rId486" Type="http://schemas.openxmlformats.org/officeDocument/2006/relationships/hyperlink" Target="https://my.zakupki.prom.ua/remote/dispatcher/state_purchase_view/17391991" TargetMode="External"/>
  <ns0:Relationship Id="rId487" Type="http://schemas.openxmlformats.org/officeDocument/2006/relationships/hyperlink" Target="https://my.zakupki.prom.ua/remote/dispatcher/state_contracting_view/4603202" TargetMode="External"/>
  <ns0:Relationship Id="rId488" Type="http://schemas.openxmlformats.org/officeDocument/2006/relationships/hyperlink" Target="https://my.zakupki.prom.ua/remote/dispatcher/state_purchase_view/17443664" TargetMode="External"/>
  <ns0:Relationship Id="rId489" Type="http://schemas.openxmlformats.org/officeDocument/2006/relationships/hyperlink" Target="https://my.zakupki.prom.ua/remote/dispatcher/state_contracting_view/4630532" TargetMode="External"/>
  <ns0:Relationship Id="rId490" Type="http://schemas.openxmlformats.org/officeDocument/2006/relationships/hyperlink" Target="https://my.zakupki.prom.ua/remote/dispatcher/state_purchase_view/17771040" TargetMode="External"/>
  <ns0:Relationship Id="rId491" Type="http://schemas.openxmlformats.org/officeDocument/2006/relationships/hyperlink" Target="https://my.zakupki.prom.ua/remote/dispatcher/state_contracting_view/4779243" TargetMode="External"/>
  <ns0:Relationship Id="rId492" Type="http://schemas.openxmlformats.org/officeDocument/2006/relationships/hyperlink" Target="https://my.zakupki.prom.ua/remote/dispatcher/state_purchase_view/17610497" TargetMode="External"/>
  <ns0:Relationship Id="rId493" Type="http://schemas.openxmlformats.org/officeDocument/2006/relationships/hyperlink" Target="https://my.zakupki.prom.ua/remote/dispatcher/state_contracting_view/4704839" TargetMode="External"/>
  <ns0:Relationship Id="rId494" Type="http://schemas.openxmlformats.org/officeDocument/2006/relationships/hyperlink" Target="https://my.zakupki.prom.ua/remote/dispatcher/state_purchase_view/17420927" TargetMode="External"/>
  <ns0:Relationship Id="rId495" Type="http://schemas.openxmlformats.org/officeDocument/2006/relationships/hyperlink" Target="https://my.zakupki.prom.ua/remote/dispatcher/state_contracting_view/4615947" TargetMode="External"/>
  <ns0:Relationship Id="rId496" Type="http://schemas.openxmlformats.org/officeDocument/2006/relationships/hyperlink" Target="https://my.zakupki.prom.ua/remote/dispatcher/state_purchase_view/20276861" TargetMode="External"/>
  <ns0:Relationship Id="rId497" Type="http://schemas.openxmlformats.org/officeDocument/2006/relationships/hyperlink" Target="https://my.zakupki.prom.ua/remote/dispatcher/state_contracting_view/5959615" TargetMode="External"/>
  <ns0:Relationship Id="rId498" Type="http://schemas.openxmlformats.org/officeDocument/2006/relationships/hyperlink" Target="https://my.zakupki.prom.ua/remote/dispatcher/state_purchase_view/20108575" TargetMode="External"/>
  <ns0:Relationship Id="rId499" Type="http://schemas.openxmlformats.org/officeDocument/2006/relationships/hyperlink" Target="https://my.zakupki.prom.ua/remote/dispatcher/state_contracting_view/5879493" TargetMode="External"/>
  <ns0:Relationship Id="rId500" Type="http://schemas.openxmlformats.org/officeDocument/2006/relationships/hyperlink" Target="https://my.zakupki.prom.ua/remote/dispatcher/state_purchase_view/19030975" TargetMode="External"/>
  <ns0:Relationship Id="rId501" Type="http://schemas.openxmlformats.org/officeDocument/2006/relationships/hyperlink" Target="https://my.zakupki.prom.ua/remote/dispatcher/state_contracting_view/5750727" TargetMode="External"/>
  <ns0:Relationship Id="rId502" Type="http://schemas.openxmlformats.org/officeDocument/2006/relationships/hyperlink" Target="https://my.zakupki.prom.ua/remote/dispatcher/state_purchase_view/19692629" TargetMode="External"/>
  <ns0:Relationship Id="rId503" Type="http://schemas.openxmlformats.org/officeDocument/2006/relationships/hyperlink" Target="https://my.zakupki.prom.ua/remote/dispatcher/state_contracting_view/5684598" TargetMode="External"/>
  <ns0:Relationship Id="rId504" Type="http://schemas.openxmlformats.org/officeDocument/2006/relationships/hyperlink" Target="https://my.zakupki.prom.ua/remote/dispatcher/state_purchase_view/19866506" TargetMode="External"/>
  <ns0:Relationship Id="rId505" Type="http://schemas.openxmlformats.org/officeDocument/2006/relationships/hyperlink" Target="https://my.zakupki.prom.ua/remote/dispatcher/state_contracting_view/5765079" TargetMode="External"/>
  <ns0:Relationship Id="rId506" Type="http://schemas.openxmlformats.org/officeDocument/2006/relationships/hyperlink" Target="https://my.zakupki.prom.ua/remote/dispatcher/state_purchase_view/20578529" TargetMode="External"/>
  <ns0:Relationship Id="rId507" Type="http://schemas.openxmlformats.org/officeDocument/2006/relationships/hyperlink" Target="https://my.zakupki.prom.ua/remote/dispatcher/state_contracting_view/6109034" TargetMode="External"/>
  <ns0:Relationship Id="rId508" Type="http://schemas.openxmlformats.org/officeDocument/2006/relationships/hyperlink" Target="https://my.zakupki.prom.ua/remote/dispatcher/state_purchase_view/20584537" TargetMode="External"/>
  <ns0:Relationship Id="rId509" Type="http://schemas.openxmlformats.org/officeDocument/2006/relationships/hyperlink" Target="https://my.zakupki.prom.ua/remote/dispatcher/state_contracting_view/6111477" TargetMode="External"/>
  <ns0:Relationship Id="rId510" Type="http://schemas.openxmlformats.org/officeDocument/2006/relationships/hyperlink" Target="https://my.zakupki.prom.ua/remote/dispatcher/state_purchase_view/20685384" TargetMode="External"/>
  <ns0:Relationship Id="rId511" Type="http://schemas.openxmlformats.org/officeDocument/2006/relationships/hyperlink" Target="https://my.zakupki.prom.ua/remote/dispatcher/state_contracting_view/6157834" TargetMode="External"/>
  <ns0:Relationship Id="rId512" Type="http://schemas.openxmlformats.org/officeDocument/2006/relationships/hyperlink" Target="https://my.zakupki.prom.ua/remote/dispatcher/state_purchase_view/20733256" TargetMode="External"/>
  <ns0:Relationship Id="rId513" Type="http://schemas.openxmlformats.org/officeDocument/2006/relationships/hyperlink" Target="https://my.zakupki.prom.ua/remote/dispatcher/state_contracting_view/6180666" TargetMode="External"/>
  <ns0:Relationship Id="rId514" Type="http://schemas.openxmlformats.org/officeDocument/2006/relationships/hyperlink" Target="https://my.zakupki.prom.ua/remote/dispatcher/state_purchase_view/20489800" TargetMode="External"/>
  <ns0:Relationship Id="rId515" Type="http://schemas.openxmlformats.org/officeDocument/2006/relationships/hyperlink" Target="https://my.zakupki.prom.ua/remote/dispatcher/state_contracting_view/6064662" TargetMode="External"/>
  <ns0:Relationship Id="rId516" Type="http://schemas.openxmlformats.org/officeDocument/2006/relationships/hyperlink" Target="https://my.zakupki.prom.ua/remote/dispatcher/state_purchase_view/20886129" TargetMode="External"/>
  <ns0:Relationship Id="rId517" Type="http://schemas.openxmlformats.org/officeDocument/2006/relationships/hyperlink" Target="https://my.zakupki.prom.ua/remote/dispatcher/state_contracting_view/6254034" TargetMode="External"/>
  <ns0:Relationship Id="rId518" Type="http://schemas.openxmlformats.org/officeDocument/2006/relationships/hyperlink" Target="https://my.zakupki.prom.ua/remote/dispatcher/state_purchase_view/20229127" TargetMode="External"/>
  <ns0:Relationship Id="rId519" Type="http://schemas.openxmlformats.org/officeDocument/2006/relationships/hyperlink" Target="https://my.zakupki.prom.ua/remote/dispatcher/state_contracting_view/6452971" TargetMode="External"/>
  <ns0:Relationship Id="rId520" Type="http://schemas.openxmlformats.org/officeDocument/2006/relationships/hyperlink" Target="https://my.zakupki.prom.ua/remote/dispatcher/state_purchase_view/21149185" TargetMode="External"/>
  <ns0:Relationship Id="rId521" Type="http://schemas.openxmlformats.org/officeDocument/2006/relationships/hyperlink" Target="https://my.zakupki.prom.ua/remote/dispatcher/state_contracting_view/6377137" TargetMode="External"/>
  <ns0:Relationship Id="rId522" Type="http://schemas.openxmlformats.org/officeDocument/2006/relationships/hyperlink" Target="https://my.zakupki.prom.ua/remote/dispatcher/state_purchase_view/21176566" TargetMode="External"/>
  <ns0:Relationship Id="rId523" Type="http://schemas.openxmlformats.org/officeDocument/2006/relationships/hyperlink" Target="https://my.zakupki.prom.ua/remote/dispatcher/state_contracting_view/6390011" TargetMode="External"/>
  <ns0:Relationship Id="rId524" Type="http://schemas.openxmlformats.org/officeDocument/2006/relationships/hyperlink" Target="https://my.zakupki.prom.ua/remote/dispatcher/state_purchase_view/21192411" TargetMode="External"/>
  <ns0:Relationship Id="rId525" Type="http://schemas.openxmlformats.org/officeDocument/2006/relationships/hyperlink" Target="https://my.zakupki.prom.ua/remote/dispatcher/state_contracting_view/6397253" TargetMode="External"/>
  <ns0:Relationship Id="rId526" Type="http://schemas.openxmlformats.org/officeDocument/2006/relationships/hyperlink" Target="https://my.zakupki.prom.ua/remote/dispatcher/state_purchase_view/22748543" TargetMode="External"/>
  <ns0:Relationship Id="rId527" Type="http://schemas.openxmlformats.org/officeDocument/2006/relationships/hyperlink" Target="https://my.zakupki.prom.ua/remote/dispatcher/state_contracting_view/7138237" TargetMode="External"/>
  <ns0:Relationship Id="rId528" Type="http://schemas.openxmlformats.org/officeDocument/2006/relationships/hyperlink" Target="https://my.zakupki.prom.ua/remote/dispatcher/state_purchase_view/22713548" TargetMode="External"/>
  <ns0:Relationship Id="rId529" Type="http://schemas.openxmlformats.org/officeDocument/2006/relationships/hyperlink" Target="https://my.zakupki.prom.ua/remote/dispatcher/state_contracting_view/7121008" TargetMode="External"/>
  <ns0:Relationship Id="rId530" Type="http://schemas.openxmlformats.org/officeDocument/2006/relationships/hyperlink" Target="https://my.zakupki.prom.ua/remote/dispatcher/state_purchase_view/22733653" TargetMode="External"/>
  <ns0:Relationship Id="rId531" Type="http://schemas.openxmlformats.org/officeDocument/2006/relationships/hyperlink" Target="https://my.zakupki.prom.ua/remote/dispatcher/state_contracting_view/7131400" TargetMode="External"/>
  <ns0:Relationship Id="rId532" Type="http://schemas.openxmlformats.org/officeDocument/2006/relationships/hyperlink" Target="https://my.zakupki.prom.ua/remote/dispatcher/state_purchase_view/22425746" TargetMode="External"/>
  <ns0:Relationship Id="rId533" Type="http://schemas.openxmlformats.org/officeDocument/2006/relationships/hyperlink" Target="https://my.zakupki.prom.ua/remote/dispatcher/state_contracting_view/6980337" TargetMode="External"/>
  <ns0:Relationship Id="rId534" Type="http://schemas.openxmlformats.org/officeDocument/2006/relationships/hyperlink" Target="https://my.zakupki.prom.ua/remote/dispatcher/state_purchase_view/22421185" TargetMode="External"/>
  <ns0:Relationship Id="rId535" Type="http://schemas.openxmlformats.org/officeDocument/2006/relationships/hyperlink" Target="https://my.zakupki.prom.ua/remote/dispatcher/state_contracting_view/6978146" TargetMode="External"/>
  <ns0:Relationship Id="rId536" Type="http://schemas.openxmlformats.org/officeDocument/2006/relationships/hyperlink" Target="https://my.zakupki.prom.ua/remote/dispatcher/state_purchase_view/22618907" TargetMode="External"/>
  <ns0:Relationship Id="rId537" Type="http://schemas.openxmlformats.org/officeDocument/2006/relationships/hyperlink" Target="https://my.zakupki.prom.ua/remote/dispatcher/state_contracting_view/7076603" TargetMode="External"/>
  <ns0:Relationship Id="rId538" Type="http://schemas.openxmlformats.org/officeDocument/2006/relationships/hyperlink" Target="https://my.zakupki.prom.ua/remote/dispatcher/state_purchase_view/21514697" TargetMode="External"/>
  <ns0:Relationship Id="rId539" Type="http://schemas.openxmlformats.org/officeDocument/2006/relationships/hyperlink" Target="https://my.zakupki.prom.ua/remote/dispatcher/state_contracting_view/6548363" TargetMode="External"/>
  <ns0:Relationship Id="rId540" Type="http://schemas.openxmlformats.org/officeDocument/2006/relationships/hyperlink" Target="https://my.zakupki.prom.ua/remote/dispatcher/state_purchase_view/21487630" TargetMode="External"/>
  <ns0:Relationship Id="rId541" Type="http://schemas.openxmlformats.org/officeDocument/2006/relationships/hyperlink" Target="https://my.zakupki.prom.ua/remote/dispatcher/state_contracting_view/6534757" TargetMode="External"/>
  <ns0:Relationship Id="rId542" Type="http://schemas.openxmlformats.org/officeDocument/2006/relationships/hyperlink" Target="https://my.zakupki.prom.ua/remote/dispatcher/state_purchase_view/22761578" TargetMode="External"/>
  <ns0:Relationship Id="rId543" Type="http://schemas.openxmlformats.org/officeDocument/2006/relationships/hyperlink" Target="https://my.zakupki.prom.ua/remote/dispatcher/state_contracting_view/7146546" TargetMode="External"/>
  <ns0:Relationship Id="rId544" Type="http://schemas.openxmlformats.org/officeDocument/2006/relationships/hyperlink" Target="https://my.zakupki.prom.ua/remote/dispatcher/state_purchase_view/22771701" TargetMode="External"/>
  <ns0:Relationship Id="rId545" Type="http://schemas.openxmlformats.org/officeDocument/2006/relationships/hyperlink" Target="https://my.zakupki.prom.ua/remote/dispatcher/state_contracting_view/7149583" TargetMode="External"/>
  <ns0:Relationship Id="rId546" Type="http://schemas.openxmlformats.org/officeDocument/2006/relationships/hyperlink" Target="https://my.zakupki.prom.ua/remote/dispatcher/state_purchase_view/18199976" TargetMode="External"/>
  <ns0:Relationship Id="rId547" Type="http://schemas.openxmlformats.org/officeDocument/2006/relationships/hyperlink" Target="https://my.zakupki.prom.ua/remote/dispatcher/state_contracting_view/4979893" TargetMode="External"/>
  <ns0:Relationship Id="rId548" Type="http://schemas.openxmlformats.org/officeDocument/2006/relationships/hyperlink" Target="https://my.zakupki.prom.ua/remote/dispatcher/state_purchase_view/18982732" TargetMode="External"/>
  <ns0:Relationship Id="rId549" Type="http://schemas.openxmlformats.org/officeDocument/2006/relationships/hyperlink" Target="https://my.zakupki.prom.ua/remote/dispatcher/state_contracting_view/5347722" TargetMode="External"/>
  <ns0:Relationship Id="rId550" Type="http://schemas.openxmlformats.org/officeDocument/2006/relationships/hyperlink" Target="https://my.zakupki.prom.ua/remote/dispatcher/state_purchase_view/19424708" TargetMode="External"/>
  <ns0:Relationship Id="rId551" Type="http://schemas.openxmlformats.org/officeDocument/2006/relationships/hyperlink" Target="https://my.zakupki.prom.ua/remote/dispatcher/state_contracting_view/5557262" TargetMode="External"/>
  <ns0:Relationship Id="rId552" Type="http://schemas.openxmlformats.org/officeDocument/2006/relationships/hyperlink" Target="https://my.zakupki.prom.ua/remote/dispatcher/state_purchase_view/20986903" TargetMode="External"/>
  <ns0:Relationship Id="rId553" Type="http://schemas.openxmlformats.org/officeDocument/2006/relationships/hyperlink" Target="https://my.zakupki.prom.ua/remote/dispatcher/state_contracting_view/6301900" TargetMode="External"/>
  <ns0:Relationship Id="rId554" Type="http://schemas.openxmlformats.org/officeDocument/2006/relationships/hyperlink" Target="https://my.zakupki.prom.ua/remote/dispatcher/state_purchase_view/20981342" TargetMode="External"/>
  <ns0:Relationship Id="rId555" Type="http://schemas.openxmlformats.org/officeDocument/2006/relationships/hyperlink" Target="https://my.zakupki.prom.ua/remote/dispatcher/state_contracting_view/6299357" TargetMode="External"/>
  <ns0:Relationship Id="rId556" Type="http://schemas.openxmlformats.org/officeDocument/2006/relationships/hyperlink" Target="https://my.zakupki.prom.ua/remote/dispatcher/state_purchase_view/20594724" TargetMode="External"/>
  <ns0:Relationship Id="rId557" Type="http://schemas.openxmlformats.org/officeDocument/2006/relationships/hyperlink" Target="https://my.zakupki.prom.ua/remote/dispatcher/state_contracting_view/6115688" TargetMode="External"/>
  <ns0:Relationship Id="rId558" Type="http://schemas.openxmlformats.org/officeDocument/2006/relationships/hyperlink" Target="https://my.zakupki.prom.ua/remote/dispatcher/state_purchase_view/21598044" TargetMode="External"/>
  <ns0:Relationship Id="rId559" Type="http://schemas.openxmlformats.org/officeDocument/2006/relationships/hyperlink" Target="https://my.zakupki.prom.ua/remote/dispatcher/state_contracting_view/6586723" TargetMode="External"/>
  <ns0:Relationship Id="rId560" Type="http://schemas.openxmlformats.org/officeDocument/2006/relationships/hyperlink" Target="https://my.zakupki.prom.ua/remote/dispatcher/state_purchase_view/21618594" TargetMode="External"/>
  <ns0:Relationship Id="rId561" Type="http://schemas.openxmlformats.org/officeDocument/2006/relationships/hyperlink" Target="https://my.zakupki.prom.ua/remote/dispatcher/state_contracting_view/6721658" TargetMode="External"/>
  <ns0:Relationship Id="rId562" Type="http://schemas.openxmlformats.org/officeDocument/2006/relationships/hyperlink" Target="https://my.zakupki.prom.ua/remote/dispatcher/state_purchase_view/22189956" TargetMode="External"/>
  <ns0:Relationship Id="rId563" Type="http://schemas.openxmlformats.org/officeDocument/2006/relationships/hyperlink" Target="https://my.zakupki.prom.ua/remote/dispatcher/state_contracting_view/6866602" TargetMode="External"/>
  <ns0:Relationship Id="rId564" Type="http://schemas.openxmlformats.org/officeDocument/2006/relationships/hyperlink" Target="https://my.zakupki.prom.ua/remote/dispatcher/state_purchase_view/18058221" TargetMode="External"/>
  <ns0:Relationship Id="rId565" Type="http://schemas.openxmlformats.org/officeDocument/2006/relationships/hyperlink" Target="https://my.zakupki.prom.ua/remote/dispatcher/state_contracting_view/4912806" TargetMode="External"/>
  <ns0:Relationship Id="rId566" Type="http://schemas.openxmlformats.org/officeDocument/2006/relationships/hyperlink" Target="https://my.zakupki.prom.ua/remote/dispatcher/state_purchase_view/18048898" TargetMode="External"/>
  <ns0:Relationship Id="rId567" Type="http://schemas.openxmlformats.org/officeDocument/2006/relationships/hyperlink" Target="https://my.zakupki.prom.ua/remote/dispatcher/state_contracting_view/4908357" TargetMode="External"/>
  <ns0:Relationship Id="rId568" Type="http://schemas.openxmlformats.org/officeDocument/2006/relationships/hyperlink" Target="https://my.zakupki.prom.ua/remote/dispatcher/state_purchase_view/18336382" TargetMode="External"/>
  <ns0:Relationship Id="rId569" Type="http://schemas.openxmlformats.org/officeDocument/2006/relationships/hyperlink" Target="https://my.zakupki.prom.ua/remote/dispatcher/state_contracting_view/5041679" TargetMode="External"/>
  <ns0:Relationship Id="rId570" Type="http://schemas.openxmlformats.org/officeDocument/2006/relationships/hyperlink" Target="https://my.zakupki.prom.ua/remote/dispatcher/state_purchase_view/18445038" TargetMode="External"/>
  <ns0:Relationship Id="rId571" Type="http://schemas.openxmlformats.org/officeDocument/2006/relationships/hyperlink" Target="https://my.zakupki.prom.ua/remote/dispatcher/state_contracting_view/5092927" TargetMode="External"/>
  <ns0:Relationship Id="rId572" Type="http://schemas.openxmlformats.org/officeDocument/2006/relationships/hyperlink" Target="https://my.zakupki.prom.ua/remote/dispatcher/state_purchase_view/18419747" TargetMode="External"/>
  <ns0:Relationship Id="rId573" Type="http://schemas.openxmlformats.org/officeDocument/2006/relationships/hyperlink" Target="https://my.zakupki.prom.ua/remote/dispatcher/state_contracting_view/5080931" TargetMode="External"/>
  <ns0:Relationship Id="rId574" Type="http://schemas.openxmlformats.org/officeDocument/2006/relationships/hyperlink" Target="https://my.zakupki.prom.ua/remote/dispatcher/state_purchase_view/17980789" TargetMode="External"/>
  <ns0:Relationship Id="rId575" Type="http://schemas.openxmlformats.org/officeDocument/2006/relationships/hyperlink" Target="https://my.zakupki.prom.ua/remote/dispatcher/state_contracting_view/4876709" TargetMode="External"/>
  <ns0:Relationship Id="rId576" Type="http://schemas.openxmlformats.org/officeDocument/2006/relationships/hyperlink" Target="https://my.zakupki.prom.ua/remote/dispatcher/state_purchase_view/17985398" TargetMode="External"/>
  <ns0:Relationship Id="rId577" Type="http://schemas.openxmlformats.org/officeDocument/2006/relationships/hyperlink" Target="https://my.zakupki.prom.ua/remote/dispatcher/state_contracting_view/4878791" TargetMode="External"/>
  <ns0:Relationship Id="rId578" Type="http://schemas.openxmlformats.org/officeDocument/2006/relationships/hyperlink" Target="https://my.zakupki.prom.ua/remote/dispatcher/state_purchase_view/18653435" TargetMode="External"/>
  <ns0:Relationship Id="rId579" Type="http://schemas.openxmlformats.org/officeDocument/2006/relationships/hyperlink" Target="https://my.zakupki.prom.ua/remote/dispatcher/state_contracting_view/5190887" TargetMode="External"/>
  <ns0:Relationship Id="rId580" Type="http://schemas.openxmlformats.org/officeDocument/2006/relationships/hyperlink" Target="https://my.zakupki.prom.ua/remote/dispatcher/state_purchase_view/18364529" TargetMode="External"/>
  <ns0:Relationship Id="rId581" Type="http://schemas.openxmlformats.org/officeDocument/2006/relationships/hyperlink" Target="https://my.zakupki.prom.ua/remote/dispatcher/state_contracting_view/5055364" TargetMode="External"/>
  <ns0:Relationship Id="rId582" Type="http://schemas.openxmlformats.org/officeDocument/2006/relationships/hyperlink" Target="https://my.zakupki.prom.ua/remote/dispatcher/state_purchase_view/18272409" TargetMode="External"/>
  <ns0:Relationship Id="rId583" Type="http://schemas.openxmlformats.org/officeDocument/2006/relationships/hyperlink" Target="https://my.zakupki.prom.ua/remote/dispatcher/state_contracting_view/5012411" TargetMode="External"/>
  <ns0:Relationship Id="rId584" Type="http://schemas.openxmlformats.org/officeDocument/2006/relationships/hyperlink" Target="https://my.zakupki.prom.ua/remote/dispatcher/state_purchase_view/17989891" TargetMode="External"/>
  <ns0:Relationship Id="rId585" Type="http://schemas.openxmlformats.org/officeDocument/2006/relationships/hyperlink" Target="https://my.zakupki.prom.ua/remote/dispatcher/state_contracting_view/4944755" TargetMode="External"/>
  <ns0:Relationship Id="rId586" Type="http://schemas.openxmlformats.org/officeDocument/2006/relationships/hyperlink" Target="https://my.zakupki.prom.ua/remote/dispatcher/state_purchase_view/18647684" TargetMode="External"/>
  <ns0:Relationship Id="rId587" Type="http://schemas.openxmlformats.org/officeDocument/2006/relationships/hyperlink" Target="https://my.zakupki.prom.ua/remote/dispatcher/state_contracting_view/5188294" TargetMode="External"/>
  <ns0:Relationship Id="rId588" Type="http://schemas.openxmlformats.org/officeDocument/2006/relationships/hyperlink" Target="https://my.zakupki.prom.ua/remote/dispatcher/state_purchase_view/18517734" TargetMode="External"/>
  <ns0:Relationship Id="rId589" Type="http://schemas.openxmlformats.org/officeDocument/2006/relationships/hyperlink" Target="https://my.zakupki.prom.ua/remote/dispatcher/state_contracting_view/5127222" TargetMode="External"/>
  <ns0:Relationship Id="rId590" Type="http://schemas.openxmlformats.org/officeDocument/2006/relationships/hyperlink" Target="https://my.zakupki.prom.ua/remote/dispatcher/state_purchase_view/18479390" TargetMode="External"/>
  <ns0:Relationship Id="rId591" Type="http://schemas.openxmlformats.org/officeDocument/2006/relationships/hyperlink" Target="https://my.zakupki.prom.ua/remote/dispatcher/state_contracting_view/5109216" TargetMode="External"/>
  <ns0:Relationship Id="rId592" Type="http://schemas.openxmlformats.org/officeDocument/2006/relationships/hyperlink" Target="https://my.zakupki.prom.ua/remote/dispatcher/state_purchase_view/20732363" TargetMode="External"/>
  <ns0:Relationship Id="rId593" Type="http://schemas.openxmlformats.org/officeDocument/2006/relationships/hyperlink" Target="https://my.zakupki.prom.ua/remote/dispatcher/state_contracting_view/6180553" TargetMode="External"/>
  <ns0:Relationship Id="rId594" Type="http://schemas.openxmlformats.org/officeDocument/2006/relationships/hyperlink" Target="https://my.zakupki.prom.ua/remote/dispatcher/state_purchase_view/14656745" TargetMode="External"/>
  <ns0:Relationship Id="rId595" Type="http://schemas.openxmlformats.org/officeDocument/2006/relationships/hyperlink" Target="https://my.zakupki.prom.ua/remote/dispatcher/state_contracting_view/3655107" TargetMode="External"/>
  <ns0:Relationship Id="rId596" Type="http://schemas.openxmlformats.org/officeDocument/2006/relationships/hyperlink" Target="https://my.zakupki.prom.ua/remote/dispatcher/state_purchase_view/16574235" TargetMode="External"/>
  <ns0:Relationship Id="rId597" Type="http://schemas.openxmlformats.org/officeDocument/2006/relationships/hyperlink" Target="https://my.zakupki.prom.ua/remote/dispatcher/state_contracting_view/4242262" TargetMode="External"/>
  <ns0:Relationship Id="rId598" Type="http://schemas.openxmlformats.org/officeDocument/2006/relationships/hyperlink" Target="https://my.zakupki.prom.ua/remote/dispatcher/state_purchase_view/16545857" TargetMode="External"/>
  <ns0:Relationship Id="rId599" Type="http://schemas.openxmlformats.org/officeDocument/2006/relationships/hyperlink" Target="https://my.zakupki.prom.ua/remote/dispatcher/state_contracting_view/4221461" TargetMode="External"/>
  <ns0:Relationship Id="rId600" Type="http://schemas.openxmlformats.org/officeDocument/2006/relationships/hyperlink" Target="https://my.zakupki.prom.ua/remote/dispatcher/state_purchase_view/15955151" TargetMode="External"/>
  <ns0:Relationship Id="rId601" Type="http://schemas.openxmlformats.org/officeDocument/2006/relationships/hyperlink" Target="https://my.zakupki.prom.ua/remote/dispatcher/state_contracting_view/3999770" TargetMode="External"/>
  <ns0:Relationship Id="rId602" Type="http://schemas.openxmlformats.org/officeDocument/2006/relationships/hyperlink" Target="https://my.zakupki.prom.ua/remote/dispatcher/state_purchase_view/15674869" TargetMode="External"/>
  <ns0:Relationship Id="rId603" Type="http://schemas.openxmlformats.org/officeDocument/2006/relationships/hyperlink" Target="https://my.zakupki.prom.ua/remote/dispatcher/state_contracting_view/3911214" TargetMode="External"/>
  <ns0:Relationship Id="rId604" Type="http://schemas.openxmlformats.org/officeDocument/2006/relationships/hyperlink" Target="https://my.zakupki.prom.ua/remote/dispatcher/state_purchase_view/15880189" TargetMode="External"/>
  <ns0:Relationship Id="rId605" Type="http://schemas.openxmlformats.org/officeDocument/2006/relationships/hyperlink" Target="https://my.zakupki.prom.ua/remote/dispatcher/state_contracting_view/3974871" TargetMode="External"/>
  <ns0:Relationship Id="rId606" Type="http://schemas.openxmlformats.org/officeDocument/2006/relationships/hyperlink" Target="https://my.zakupki.prom.ua/remote/dispatcher/state_purchase_view/15299882" TargetMode="External"/>
  <ns0:Relationship Id="rId607" Type="http://schemas.openxmlformats.org/officeDocument/2006/relationships/hyperlink" Target="https://my.zakupki.prom.ua/remote/dispatcher/state_contracting_view/3804110" TargetMode="External"/>
  <ns0:Relationship Id="rId608" Type="http://schemas.openxmlformats.org/officeDocument/2006/relationships/hyperlink" Target="https://my.zakupki.prom.ua/remote/dispatcher/state_purchase_view/16917944" TargetMode="External"/>
  <ns0:Relationship Id="rId609" Type="http://schemas.openxmlformats.org/officeDocument/2006/relationships/hyperlink" Target="https://my.zakupki.prom.ua/remote/dispatcher/state_contracting_view/4386509" TargetMode="External"/>
  <ns0:Relationship Id="rId610" Type="http://schemas.openxmlformats.org/officeDocument/2006/relationships/hyperlink" Target="https://my.zakupki.prom.ua/remote/dispatcher/state_purchase_view/17664772" TargetMode="External"/>
  <ns0:Relationship Id="rId611" Type="http://schemas.openxmlformats.org/officeDocument/2006/relationships/hyperlink" Target="https://my.zakupki.prom.ua/remote/dispatcher/state_contracting_view/4729693" TargetMode="External"/>
  <ns0:Relationship Id="rId612" Type="http://schemas.openxmlformats.org/officeDocument/2006/relationships/hyperlink" Target="https://my.zakupki.prom.ua/remote/dispatcher/state_purchase_view/17663028" TargetMode="External"/>
  <ns0:Relationship Id="rId613" Type="http://schemas.openxmlformats.org/officeDocument/2006/relationships/hyperlink" Target="https://my.zakupki.prom.ua/remote/dispatcher/state_contracting_view/4729163" TargetMode="External"/>
  <ns0:Relationship Id="rId614" Type="http://schemas.openxmlformats.org/officeDocument/2006/relationships/hyperlink" Target="https://my.zakupki.prom.ua/remote/dispatcher/state_purchase_view/17636444" TargetMode="External"/>
  <ns0:Relationship Id="rId615" Type="http://schemas.openxmlformats.org/officeDocument/2006/relationships/hyperlink" Target="https://my.zakupki.prom.ua/remote/dispatcher/state_contracting_view/4716473" TargetMode="External"/>
  <ns0:Relationship Id="rId616" Type="http://schemas.openxmlformats.org/officeDocument/2006/relationships/hyperlink" Target="https://my.zakupki.prom.ua/remote/dispatcher/state_purchase_view/17764732" TargetMode="External"/>
  <ns0:Relationship Id="rId617" Type="http://schemas.openxmlformats.org/officeDocument/2006/relationships/hyperlink" Target="https://my.zakupki.prom.ua/remote/dispatcher/state_contracting_view/4776754" TargetMode="External"/>
  <ns0:Relationship Id="rId618" Type="http://schemas.openxmlformats.org/officeDocument/2006/relationships/hyperlink" Target="https://my.zakupki.prom.ua/remote/dispatcher/state_purchase_view/17682082" TargetMode="External"/>
  <ns0:Relationship Id="rId619" Type="http://schemas.openxmlformats.org/officeDocument/2006/relationships/hyperlink" Target="https://my.zakupki.prom.ua/remote/dispatcher/state_contracting_view/4738073" TargetMode="External"/>
  <ns0:Relationship Id="rId620" Type="http://schemas.openxmlformats.org/officeDocument/2006/relationships/hyperlink" Target="https://my.zakupki.prom.ua/remote/dispatcher/state_purchase_view/17692118" TargetMode="External"/>
  <ns0:Relationship Id="rId621" Type="http://schemas.openxmlformats.org/officeDocument/2006/relationships/hyperlink" Target="https://my.zakupki.prom.ua/remote/dispatcher/state_contracting_view/4742366" TargetMode="External"/>
  <ns0:Relationship Id="rId622" Type="http://schemas.openxmlformats.org/officeDocument/2006/relationships/hyperlink" Target="https://my.zakupki.prom.ua/remote/dispatcher/state_purchase_view/17697932" TargetMode="External"/>
  <ns0:Relationship Id="rId623" Type="http://schemas.openxmlformats.org/officeDocument/2006/relationships/hyperlink" Target="https://my.zakupki.prom.ua/remote/dispatcher/state_contracting_view/4745038" TargetMode="External"/>
  <ns0:Relationship Id="rId624" Type="http://schemas.openxmlformats.org/officeDocument/2006/relationships/hyperlink" Target="https://my.zakupki.prom.ua/remote/dispatcher/state_purchase_view/17865449" TargetMode="External"/>
  <ns0:Relationship Id="rId625" Type="http://schemas.openxmlformats.org/officeDocument/2006/relationships/hyperlink" Target="https://my.zakupki.prom.ua/remote/dispatcher/state_contracting_view/4873321" TargetMode="External"/>
  <ns0:Relationship Id="rId626" Type="http://schemas.openxmlformats.org/officeDocument/2006/relationships/hyperlink" Target="https://my.zakupki.prom.ua/remote/dispatcher/state_purchase_view/17667954" TargetMode="External"/>
  <ns0:Relationship Id="rId627" Type="http://schemas.openxmlformats.org/officeDocument/2006/relationships/hyperlink" Target="https://my.zakupki.prom.ua/remote/dispatcher/state_contracting_view/4732170" TargetMode="External"/>
  <ns0:Relationship Id="rId628" Type="http://schemas.openxmlformats.org/officeDocument/2006/relationships/hyperlink" Target="https://my.zakupki.prom.ua/remote/dispatcher/state_purchase_view/18338808" TargetMode="External"/>
  <ns0:Relationship Id="rId629" Type="http://schemas.openxmlformats.org/officeDocument/2006/relationships/hyperlink" Target="https://my.zakupki.prom.ua/remote/dispatcher/state_contracting_view/5043121" TargetMode="External"/>
  <ns0:Relationship Id="rId630" Type="http://schemas.openxmlformats.org/officeDocument/2006/relationships/hyperlink" Target="https://my.zakupki.prom.ua/remote/dispatcher/state_purchase_view/19792710" TargetMode="External"/>
  <ns0:Relationship Id="rId631" Type="http://schemas.openxmlformats.org/officeDocument/2006/relationships/hyperlink" Target="https://my.zakupki.prom.ua/remote/dispatcher/state_contracting_view/5730803" TargetMode="External"/>
  <ns0:Relationship Id="rId632" Type="http://schemas.openxmlformats.org/officeDocument/2006/relationships/hyperlink" Target="https://my.zakupki.prom.ua/remote/dispatcher/state_purchase_view/20025019" TargetMode="External"/>
  <ns0:Relationship Id="rId633" Type="http://schemas.openxmlformats.org/officeDocument/2006/relationships/hyperlink" Target="https://my.zakupki.prom.ua/remote/dispatcher/state_contracting_view/5838930" TargetMode="External"/>
  <ns0:Relationship Id="rId634" Type="http://schemas.openxmlformats.org/officeDocument/2006/relationships/hyperlink" Target="https://my.zakupki.prom.ua/remote/dispatcher/state_purchase_view/19865754" TargetMode="External"/>
  <ns0:Relationship Id="rId635" Type="http://schemas.openxmlformats.org/officeDocument/2006/relationships/hyperlink" Target="https://my.zakupki.prom.ua/remote/dispatcher/state_contracting_view/5765175" TargetMode="External"/>
  <ns0:Relationship Id="rId636" Type="http://schemas.openxmlformats.org/officeDocument/2006/relationships/hyperlink" Target="https://my.zakupki.prom.ua/remote/dispatcher/state_purchase_view/19692908" TargetMode="External"/>
  <ns0:Relationship Id="rId637" Type="http://schemas.openxmlformats.org/officeDocument/2006/relationships/hyperlink" Target="https://my.zakupki.prom.ua/remote/dispatcher/state_contracting_view/5684909" TargetMode="External"/>
  <ns0:Relationship Id="rId638" Type="http://schemas.openxmlformats.org/officeDocument/2006/relationships/hyperlink" Target="https://my.zakupki.prom.ua/remote/dispatcher/state_purchase_view/20117207" TargetMode="External"/>
  <ns0:Relationship Id="rId639" Type="http://schemas.openxmlformats.org/officeDocument/2006/relationships/hyperlink" Target="https://my.zakupki.prom.ua/remote/dispatcher/state_contracting_view/5883802" TargetMode="External"/>
  <ns0:Relationship Id="rId640" Type="http://schemas.openxmlformats.org/officeDocument/2006/relationships/hyperlink" Target="https://my.zakupki.prom.ua/remote/dispatcher/state_purchase_view/20017732" TargetMode="External"/>
  <ns0:Relationship Id="rId641" Type="http://schemas.openxmlformats.org/officeDocument/2006/relationships/hyperlink" Target="https://my.zakupki.prom.ua/remote/dispatcher/state_contracting_view/5835691" TargetMode="External"/>
  <ns0:Relationship Id="rId642" Type="http://schemas.openxmlformats.org/officeDocument/2006/relationships/hyperlink" Target="https://my.zakupki.prom.ua/remote/dispatcher/state_purchase_view/20110589" TargetMode="External"/>
  <ns0:Relationship Id="rId643" Type="http://schemas.openxmlformats.org/officeDocument/2006/relationships/hyperlink" Target="https://my.zakupki.prom.ua/remote/dispatcher/state_contracting_view/5880180" TargetMode="External"/>
  <ns0:Relationship Id="rId644" Type="http://schemas.openxmlformats.org/officeDocument/2006/relationships/hyperlink" Target="https://my.zakupki.prom.ua/remote/dispatcher/state_purchase_view/20590779" TargetMode="External"/>
  <ns0:Relationship Id="rId645" Type="http://schemas.openxmlformats.org/officeDocument/2006/relationships/hyperlink" Target="https://my.zakupki.prom.ua/remote/dispatcher/state_contracting_view/6114420" TargetMode="External"/>
  <ns0:Relationship Id="rId646" Type="http://schemas.openxmlformats.org/officeDocument/2006/relationships/hyperlink" Target="https://my.zakupki.prom.ua/remote/dispatcher/state_purchase_view/20598736" TargetMode="External"/>
  <ns0:Relationship Id="rId647" Type="http://schemas.openxmlformats.org/officeDocument/2006/relationships/hyperlink" Target="https://my.zakupki.prom.ua/remote/dispatcher/state_contracting_view/6117840" TargetMode="External"/>
  <ns0:Relationship Id="rId648" Type="http://schemas.openxmlformats.org/officeDocument/2006/relationships/hyperlink" Target="https://my.zakupki.prom.ua/remote/dispatcher/state_purchase_view/20600134" TargetMode="External"/>
  <ns0:Relationship Id="rId649" Type="http://schemas.openxmlformats.org/officeDocument/2006/relationships/hyperlink" Target="https://my.zakupki.prom.ua/remote/dispatcher/state_contracting_view/6119168" TargetMode="External"/>
  <ns0:Relationship Id="rId650" Type="http://schemas.openxmlformats.org/officeDocument/2006/relationships/hyperlink" Target="https://my.zakupki.prom.ua/remote/dispatcher/state_purchase_view/21150829" TargetMode="External"/>
  <ns0:Relationship Id="rId651" Type="http://schemas.openxmlformats.org/officeDocument/2006/relationships/hyperlink" Target="https://my.zakupki.prom.ua/remote/dispatcher/state_contracting_view/6378597" TargetMode="External"/>
  <ns0:Relationship Id="rId652" Type="http://schemas.openxmlformats.org/officeDocument/2006/relationships/hyperlink" Target="https://my.zakupki.prom.ua/remote/dispatcher/state_purchase_view/21172891" TargetMode="External"/>
  <ns0:Relationship Id="rId653" Type="http://schemas.openxmlformats.org/officeDocument/2006/relationships/hyperlink" Target="https://my.zakupki.prom.ua/remote/dispatcher/state_contracting_view/6388077" TargetMode="External"/>
  <ns0:Relationship Id="rId654" Type="http://schemas.openxmlformats.org/officeDocument/2006/relationships/hyperlink" Target="https://my.zakupki.prom.ua/remote/dispatcher/state_purchase_view/18412543" TargetMode="External"/>
  <ns0:Relationship Id="rId655" Type="http://schemas.openxmlformats.org/officeDocument/2006/relationships/hyperlink" Target="https://my.zakupki.prom.ua/remote/dispatcher/state_contracting_view/5077449" TargetMode="External"/>
  <ns0:Relationship Id="rId656" Type="http://schemas.openxmlformats.org/officeDocument/2006/relationships/hyperlink" Target="https://my.zakupki.prom.ua/remote/dispatcher/state_purchase_view/18645754" TargetMode="External"/>
  <ns0:Relationship Id="rId657" Type="http://schemas.openxmlformats.org/officeDocument/2006/relationships/hyperlink" Target="https://my.zakupki.prom.ua/remote/dispatcher/state_contracting_view/5187248" TargetMode="External"/>
  <ns0:Relationship Id="rId658" Type="http://schemas.openxmlformats.org/officeDocument/2006/relationships/hyperlink" Target="https://my.zakupki.prom.ua/remote/dispatcher/state_purchase_view/18758200" TargetMode="External"/>
  <ns0:Relationship Id="rId659" Type="http://schemas.openxmlformats.org/officeDocument/2006/relationships/hyperlink" Target="https://my.zakupki.prom.ua/remote/dispatcher/state_contracting_view/5298421" TargetMode="External"/>
  <ns0:Relationship Id="rId660" Type="http://schemas.openxmlformats.org/officeDocument/2006/relationships/hyperlink" Target="https://my.zakupki.prom.ua/remote/dispatcher/state_purchase_view/18473873" TargetMode="External"/>
  <ns0:Relationship Id="rId661" Type="http://schemas.openxmlformats.org/officeDocument/2006/relationships/hyperlink" Target="https://my.zakupki.prom.ua/remote/dispatcher/state_contracting_view/5106435" TargetMode="External"/>
  <ns0:Relationship Id="rId662" Type="http://schemas.openxmlformats.org/officeDocument/2006/relationships/hyperlink" Target="https://my.zakupki.prom.ua/remote/dispatcher/state_purchase_view/18483469" TargetMode="External"/>
  <ns0:Relationship Id="rId663" Type="http://schemas.openxmlformats.org/officeDocument/2006/relationships/hyperlink" Target="https://my.zakupki.prom.ua/remote/dispatcher/state_contracting_view/5169261" TargetMode="External"/>
  <ns0:Relationship Id="rId664" Type="http://schemas.openxmlformats.org/officeDocument/2006/relationships/hyperlink" Target="https://my.zakupki.prom.ua/remote/dispatcher/state_purchase_view/18990815" TargetMode="External"/>
  <ns0:Relationship Id="rId665" Type="http://schemas.openxmlformats.org/officeDocument/2006/relationships/hyperlink" Target="https://my.zakupki.prom.ua/remote/dispatcher/state_contracting_view/5351919" TargetMode="External"/>
  <ns0:Relationship Id="rId666" Type="http://schemas.openxmlformats.org/officeDocument/2006/relationships/hyperlink" Target="https://my.zakupki.prom.ua/remote/dispatcher/state_purchase_view/18984133" TargetMode="External"/>
  <ns0:Relationship Id="rId667" Type="http://schemas.openxmlformats.org/officeDocument/2006/relationships/hyperlink" Target="https://my.zakupki.prom.ua/remote/dispatcher/state_contracting_view/5348387" TargetMode="External"/>
  <ns0:Relationship Id="rId668" Type="http://schemas.openxmlformats.org/officeDocument/2006/relationships/hyperlink" Target="https://my.zakupki.prom.ua/remote/dispatcher/state_purchase_view/17537436" TargetMode="External"/>
  <ns0:Relationship Id="rId669" Type="http://schemas.openxmlformats.org/officeDocument/2006/relationships/hyperlink" Target="https://my.zakupki.prom.ua/remote/dispatcher/state_contracting_view/4671124" TargetMode="External"/>
  <ns0:Relationship Id="rId670" Type="http://schemas.openxmlformats.org/officeDocument/2006/relationships/hyperlink" Target="https://my.zakupki.prom.ua/remote/dispatcher/state_purchase_view/17564838" TargetMode="External"/>
  <ns0:Relationship Id="rId671" Type="http://schemas.openxmlformats.org/officeDocument/2006/relationships/hyperlink" Target="https://my.zakupki.prom.ua/remote/dispatcher/state_contracting_view/4685617" TargetMode="External"/>
  <ns0:Relationship Id="rId672" Type="http://schemas.openxmlformats.org/officeDocument/2006/relationships/hyperlink" Target="https://my.zakupki.prom.ua/remote/dispatcher/state_purchase_view/17563682" TargetMode="External"/>
  <ns0:Relationship Id="rId673" Type="http://schemas.openxmlformats.org/officeDocument/2006/relationships/hyperlink" Target="https://my.zakupki.prom.ua/remote/dispatcher/state_contracting_view/4683178" TargetMode="External"/>
  <ns0:Relationship Id="rId674" Type="http://schemas.openxmlformats.org/officeDocument/2006/relationships/hyperlink" Target="https://my.zakupki.prom.ua/remote/dispatcher/state_purchase_view/17593908" TargetMode="External"/>
  <ns0:Relationship Id="rId675" Type="http://schemas.openxmlformats.org/officeDocument/2006/relationships/hyperlink" Target="https://my.zakupki.prom.ua/remote/dispatcher/state_contracting_view/4697034" TargetMode="External"/>
  <ns0:Relationship Id="rId676" Type="http://schemas.openxmlformats.org/officeDocument/2006/relationships/hyperlink" Target="https://my.zakupki.prom.ua/remote/dispatcher/state_purchase_view/19090293" TargetMode="External"/>
  <ns0:Relationship Id="rId677" Type="http://schemas.openxmlformats.org/officeDocument/2006/relationships/hyperlink" Target="https://my.zakupki.prom.ua/remote/dispatcher/state_contracting_view/5398956" TargetMode="External"/>
  <ns0:Relationship Id="rId678" Type="http://schemas.openxmlformats.org/officeDocument/2006/relationships/hyperlink" Target="https://my.zakupki.prom.ua/remote/dispatcher/state_purchase_view/19142921" TargetMode="External"/>
  <ns0:Relationship Id="rId679" Type="http://schemas.openxmlformats.org/officeDocument/2006/relationships/hyperlink" Target="https://my.zakupki.prom.ua/remote/dispatcher/state_contracting_view/5423424" TargetMode="External"/>
  <ns0:Relationship Id="rId680" Type="http://schemas.openxmlformats.org/officeDocument/2006/relationships/hyperlink" Target="https://my.zakupki.prom.ua/remote/dispatcher/state_purchase_view/19379026" TargetMode="External"/>
  <ns0:Relationship Id="rId681" Type="http://schemas.openxmlformats.org/officeDocument/2006/relationships/hyperlink" Target="https://my.zakupki.prom.ua/remote/dispatcher/state_contracting_view/5536179" TargetMode="External"/>
  <ns0:Relationship Id="rId682" Type="http://schemas.openxmlformats.org/officeDocument/2006/relationships/hyperlink" Target="https://my.zakupki.prom.ua/remote/dispatcher/state_purchase_view/19056561" TargetMode="External"/>
  <ns0:Relationship Id="rId683" Type="http://schemas.openxmlformats.org/officeDocument/2006/relationships/hyperlink" Target="https://my.zakupki.prom.ua/remote/dispatcher/state_contracting_view/5384498" TargetMode="External"/>
  <ns0:Relationship Id="rId684" Type="http://schemas.openxmlformats.org/officeDocument/2006/relationships/hyperlink" Target="https://my.zakupki.prom.ua/remote/dispatcher/state_purchase_view/20466311" TargetMode="External"/>
  <ns0:Relationship Id="rId685" Type="http://schemas.openxmlformats.org/officeDocument/2006/relationships/hyperlink" Target="https://my.zakupki.prom.ua/remote/dispatcher/state_contracting_view/6052684" TargetMode="External"/>
  <ns0:Relationship Id="rId686" Type="http://schemas.openxmlformats.org/officeDocument/2006/relationships/hyperlink" Target="https://my.zakupki.prom.ua/remote/dispatcher/state_purchase_view/20881040" TargetMode="External"/>
  <ns0:Relationship Id="rId687" Type="http://schemas.openxmlformats.org/officeDocument/2006/relationships/hyperlink" Target="https://my.zakupki.prom.ua/remote/dispatcher/state_contracting_view/6251253" TargetMode="External"/>
  <ns0:Relationship Id="rId688" Type="http://schemas.openxmlformats.org/officeDocument/2006/relationships/hyperlink" Target="https://my.zakupki.prom.ua/remote/dispatcher/state_purchase_view/20880209" TargetMode="External"/>
  <ns0:Relationship Id="rId689" Type="http://schemas.openxmlformats.org/officeDocument/2006/relationships/hyperlink" Target="https://my.zakupki.prom.ua/remote/dispatcher/state_contracting_view/6251145" TargetMode="External"/>
  <ns0:Relationship Id="rId690" Type="http://schemas.openxmlformats.org/officeDocument/2006/relationships/hyperlink" Target="https://my.zakupki.prom.ua/remote/dispatcher/state_purchase_view/20934002" TargetMode="External"/>
  <ns0:Relationship Id="rId691" Type="http://schemas.openxmlformats.org/officeDocument/2006/relationships/hyperlink" Target="https://my.zakupki.prom.ua/remote/dispatcher/state_contracting_view/6277008" TargetMode="External"/>
  <ns0:Relationship Id="rId692" Type="http://schemas.openxmlformats.org/officeDocument/2006/relationships/hyperlink" Target="https://my.zakupki.prom.ua/remote/dispatcher/state_purchase_view/21834218" TargetMode="External"/>
  <ns0:Relationship Id="rId693" Type="http://schemas.openxmlformats.org/officeDocument/2006/relationships/hyperlink" Target="https://my.zakupki.prom.ua/remote/dispatcher/state_contracting_view/6695775" TargetMode="External"/>
  <ns0:Relationship Id="rId694" Type="http://schemas.openxmlformats.org/officeDocument/2006/relationships/hyperlink" Target="https://my.zakupki.prom.ua/remote/dispatcher/state_purchase_view/21586146" TargetMode="External"/>
  <ns0:Relationship Id="rId695" Type="http://schemas.openxmlformats.org/officeDocument/2006/relationships/hyperlink" Target="https://my.zakupki.prom.ua/remote/dispatcher/state_contracting_view/6581059" TargetMode="External"/>
  <ns0:Relationship Id="rId696" Type="http://schemas.openxmlformats.org/officeDocument/2006/relationships/hyperlink" Target="https://my.zakupki.prom.ua/remote/dispatcher/state_purchase_view/22652852" TargetMode="External"/>
  <ns0:Relationship Id="rId697" Type="http://schemas.openxmlformats.org/officeDocument/2006/relationships/hyperlink" Target="https://my.zakupki.prom.ua/remote/dispatcher/state_contracting_view/7092857" TargetMode="External"/>
  <ns0:Relationship Id="rId698" Type="http://schemas.openxmlformats.org/officeDocument/2006/relationships/hyperlink" Target="https://my.zakupki.prom.ua/remote/dispatcher/state_purchase_view/22714246" TargetMode="External"/>
  <ns0:Relationship Id="rId699" Type="http://schemas.openxmlformats.org/officeDocument/2006/relationships/hyperlink" Target="https://my.zakupki.prom.ua/remote/dispatcher/state_contracting_view/7121780" TargetMode="External"/>
  <ns0:Relationship Id="rId700" Type="http://schemas.openxmlformats.org/officeDocument/2006/relationships/hyperlink" Target="https://my.zakupki.prom.ua/remote/dispatcher/state_purchase_view/21859029" TargetMode="External"/>
  <ns0:Relationship Id="rId701" Type="http://schemas.openxmlformats.org/officeDocument/2006/relationships/hyperlink" Target="https://my.zakupki.prom.ua/remote/dispatcher/state_contracting_view/6707619" TargetMode="External"/>
  <ns0:Relationship Id="rId702" Type="http://schemas.openxmlformats.org/officeDocument/2006/relationships/hyperlink" Target="https://my.zakupki.prom.ua/remote/dispatcher/state_purchase_view/18271764" TargetMode="External"/>
  <ns0:Relationship Id="rId703" Type="http://schemas.openxmlformats.org/officeDocument/2006/relationships/hyperlink" Target="https://my.zakupki.prom.ua/remote/dispatcher/state_contracting_view/5012257" TargetMode="External"/>
  <ns0:Relationship Id="rId704" Type="http://schemas.openxmlformats.org/officeDocument/2006/relationships/hyperlink" Target="https://my.zakupki.prom.ua/remote/dispatcher/state_purchase_view/20712076" TargetMode="External"/>
  <ns0:Relationship Id="rId705" Type="http://schemas.openxmlformats.org/officeDocument/2006/relationships/hyperlink" Target="https://my.zakupki.prom.ua/remote/dispatcher/state_contracting_view/6260361" TargetMode="External"/>
  <ns0:Relationship Id="rId706" Type="http://schemas.openxmlformats.org/officeDocument/2006/relationships/hyperlink" Target="https://my.zakupki.prom.ua/remote/dispatcher/state_purchase_view/15469805" TargetMode="External"/>
  <ns0:Relationship Id="rId707" Type="http://schemas.openxmlformats.org/officeDocument/2006/relationships/hyperlink" Target="https://my.zakupki.prom.ua/remote/dispatcher/state_contracting_view/3851031" TargetMode="External"/>
  <ns0:Relationship Id="rId708" Type="http://schemas.openxmlformats.org/officeDocument/2006/relationships/hyperlink" Target="https://my.zakupki.prom.ua/remote/dispatcher/state_purchase_view/15007957" TargetMode="External"/>
  <ns0:Relationship Id="rId709" Type="http://schemas.openxmlformats.org/officeDocument/2006/relationships/hyperlink" Target="https://my.zakupki.prom.ua/remote/dispatcher/state_contracting_view/3730461" TargetMode="External"/>
  <ns0:Relationship Id="rId710" Type="http://schemas.openxmlformats.org/officeDocument/2006/relationships/hyperlink" Target="https://my.zakupki.prom.ua/remote/dispatcher/state_purchase_view/14757039" TargetMode="External"/>
  <ns0:Relationship Id="rId711" Type="http://schemas.openxmlformats.org/officeDocument/2006/relationships/hyperlink" Target="https://my.zakupki.prom.ua/remote/dispatcher/state_contracting_view/3673869" TargetMode="External"/>
  <ns0:Relationship Id="rId712" Type="http://schemas.openxmlformats.org/officeDocument/2006/relationships/hyperlink" Target="https://my.zakupki.prom.ua/remote/dispatcher/state_purchase_view/21741586" TargetMode="External"/>
  <ns0:Relationship Id="rId713" Type="http://schemas.openxmlformats.org/officeDocument/2006/relationships/hyperlink" Target="https://my.zakupki.prom.ua/remote/dispatcher/state_contracting_view/6653286" TargetMode="External"/>
  <ns0:Relationship Id="rId714" Type="http://schemas.openxmlformats.org/officeDocument/2006/relationships/hyperlink" Target="https://my.zakupki.prom.ua/remote/dispatcher/state_purchase_view/21852379" TargetMode="External"/>
  <ns0:Relationship Id="rId715" Type="http://schemas.openxmlformats.org/officeDocument/2006/relationships/hyperlink" Target="https://my.zakupki.prom.ua/remote/dispatcher/state_contracting_view/6704363" TargetMode="External"/>
  <ns0:Relationship Id="rId716" Type="http://schemas.openxmlformats.org/officeDocument/2006/relationships/hyperlink" Target="https://my.zakupki.prom.ua/remote/dispatcher/state_purchase_view/21109781" TargetMode="External"/>
  <ns0:Relationship Id="rId717" Type="http://schemas.openxmlformats.org/officeDocument/2006/relationships/hyperlink" Target="https://my.zakupki.prom.ua/remote/dispatcher/state_contracting_view/6358985" TargetMode="External"/>
  <ns0:Relationship Id="rId718" Type="http://schemas.openxmlformats.org/officeDocument/2006/relationships/hyperlink" Target="https://my.zakupki.prom.ua/remote/dispatcher/state_purchase_view/21112778" TargetMode="External"/>
  <ns0:Relationship Id="rId719" Type="http://schemas.openxmlformats.org/officeDocument/2006/relationships/hyperlink" Target="https://my.zakupki.prom.ua/remote/dispatcher/state_contracting_view/6359948" TargetMode="External"/>
  <ns0:Relationship Id="rId720" Type="http://schemas.openxmlformats.org/officeDocument/2006/relationships/hyperlink" Target="https://my.zakupki.prom.ua/remote/dispatcher/state_purchase_view/21182661" TargetMode="External"/>
  <ns0:Relationship Id="rId721" Type="http://schemas.openxmlformats.org/officeDocument/2006/relationships/hyperlink" Target="https://my.zakupki.prom.ua/remote/dispatcher/state_contracting_view/6393328" TargetMode="External"/>
  <ns0:Relationship Id="rId722" Type="http://schemas.openxmlformats.org/officeDocument/2006/relationships/hyperlink" Target="https://my.zakupki.prom.ua/remote/dispatcher/state_purchase_view/21106293" TargetMode="External"/>
  <ns0:Relationship Id="rId723" Type="http://schemas.openxmlformats.org/officeDocument/2006/relationships/hyperlink" Target="https://my.zakupki.prom.ua/remote/dispatcher/state_contracting_view/6357626" TargetMode="External"/>
  <ns0:Relationship Id="rId724" Type="http://schemas.openxmlformats.org/officeDocument/2006/relationships/hyperlink" Target="https://my.zakupki.prom.ua/remote/dispatcher/state_purchase_view/22430942" TargetMode="External"/>
  <ns0:Relationship Id="rId725" Type="http://schemas.openxmlformats.org/officeDocument/2006/relationships/hyperlink" Target="https://my.zakupki.prom.ua/remote/dispatcher/state_contracting_view/6983602" TargetMode="External"/>
  <ns0:Relationship Id="rId726" Type="http://schemas.openxmlformats.org/officeDocument/2006/relationships/hyperlink" Target="https://my.zakupki.prom.ua/remote/dispatcher/state_purchase_view/22637431" TargetMode="External"/>
  <ns0:Relationship Id="rId727" Type="http://schemas.openxmlformats.org/officeDocument/2006/relationships/hyperlink" Target="https://my.zakupki.prom.ua/remote/dispatcher/state_contracting_view/7087177" TargetMode="External"/>
  <ns0:Relationship Id="rId728" Type="http://schemas.openxmlformats.org/officeDocument/2006/relationships/hyperlink" Target="https://my.zakupki.prom.ua/remote/dispatcher/state_purchase_view/22461515" TargetMode="External"/>
  <ns0:Relationship Id="rId729" Type="http://schemas.openxmlformats.org/officeDocument/2006/relationships/hyperlink" Target="https://my.zakupki.prom.ua/remote/dispatcher/state_contracting_view/6997172" TargetMode="External"/>
  <ns0:Relationship Id="rId730" Type="http://schemas.openxmlformats.org/officeDocument/2006/relationships/hyperlink" Target="https://my.zakupki.prom.ua/remote/dispatcher/state_purchase_view/16903816" TargetMode="External"/>
  <ns0:Relationship Id="rId731" Type="http://schemas.openxmlformats.org/officeDocument/2006/relationships/hyperlink" Target="https://my.zakupki.prom.ua/remote/dispatcher/state_contracting_view/4380247" TargetMode="External"/>
  <ns0:Relationship Id="rId732" Type="http://schemas.openxmlformats.org/officeDocument/2006/relationships/hyperlink" Target="https://my.zakupki.prom.ua/remote/dispatcher/state_purchase_view/17035451" TargetMode="External"/>
  <ns0:Relationship Id="rId733" Type="http://schemas.openxmlformats.org/officeDocument/2006/relationships/hyperlink" Target="https://my.zakupki.prom.ua/remote/dispatcher/state_contracting_view/4439001" TargetMode="External"/>
  <ns0:Relationship Id="rId734" Type="http://schemas.openxmlformats.org/officeDocument/2006/relationships/hyperlink" Target="https://my.zakupki.prom.ua/remote/dispatcher/state_purchase_view/15699168" TargetMode="External"/>
  <ns0:Relationship Id="rId735" Type="http://schemas.openxmlformats.org/officeDocument/2006/relationships/hyperlink" Target="https://my.zakupki.prom.ua/remote/dispatcher/state_contracting_view/3918838" TargetMode="External"/>
  <ns0:Relationship Id="rId736" Type="http://schemas.openxmlformats.org/officeDocument/2006/relationships/hyperlink" Target="https://my.zakupki.prom.ua/remote/dispatcher/state_purchase_view/15722540" TargetMode="External"/>
  <ns0:Relationship Id="rId737" Type="http://schemas.openxmlformats.org/officeDocument/2006/relationships/hyperlink" Target="https://my.zakupki.prom.ua/remote/dispatcher/state_contracting_view/3930129" TargetMode="External"/>
  <ns0:Relationship Id="rId738" Type="http://schemas.openxmlformats.org/officeDocument/2006/relationships/hyperlink" Target="https://my.zakupki.prom.ua/remote/dispatcher/state_purchase_view/15708019" TargetMode="External"/>
  <ns0:Relationship Id="rId739" Type="http://schemas.openxmlformats.org/officeDocument/2006/relationships/hyperlink" Target="https://my.zakupki.prom.ua/remote/dispatcher/state_contracting_view/3921264" TargetMode="External"/>
  <ns0:Relationship Id="rId740" Type="http://schemas.openxmlformats.org/officeDocument/2006/relationships/hyperlink" Target="https://my.zakupki.prom.ua/remote/dispatcher/state_purchase_view/17662027" TargetMode="External"/>
  <ns0:Relationship Id="rId741" Type="http://schemas.openxmlformats.org/officeDocument/2006/relationships/hyperlink" Target="https://my.zakupki.prom.ua/remote/dispatcher/state_contracting_view/4728498" TargetMode="External"/>
  <ns0:Relationship Id="rId742" Type="http://schemas.openxmlformats.org/officeDocument/2006/relationships/hyperlink" Target="https://my.zakupki.prom.ua/remote/dispatcher/state_purchase_view/18033231" TargetMode="External"/>
  <ns0:Relationship Id="rId743" Type="http://schemas.openxmlformats.org/officeDocument/2006/relationships/hyperlink" Target="https://my.zakupki.prom.ua/remote/dispatcher/state_contracting_view/4901368" TargetMode="External"/>
  <ns0:Relationship Id="rId744" Type="http://schemas.openxmlformats.org/officeDocument/2006/relationships/hyperlink" Target="https://my.zakupki.prom.ua/remote/dispatcher/state_purchase_view/18337826" TargetMode="External"/>
  <ns0:Relationship Id="rId745" Type="http://schemas.openxmlformats.org/officeDocument/2006/relationships/hyperlink" Target="https://my.zakupki.prom.ua/remote/dispatcher/state_contracting_view/5042370" TargetMode="External"/>
  <ns0:Relationship Id="rId746" Type="http://schemas.openxmlformats.org/officeDocument/2006/relationships/hyperlink" Target="https://my.zakupki.prom.ua/remote/dispatcher/state_purchase_view/18511366" TargetMode="External"/>
  <ns0:Relationship Id="rId747" Type="http://schemas.openxmlformats.org/officeDocument/2006/relationships/hyperlink" Target="https://my.zakupki.prom.ua/remote/dispatcher/state_contracting_view/5124186" TargetMode="External"/>
  <ns0:Relationship Id="rId748" Type="http://schemas.openxmlformats.org/officeDocument/2006/relationships/hyperlink" Target="https://my.zakupki.prom.ua/remote/dispatcher/state_purchase_view/18559459" TargetMode="External"/>
  <ns0:Relationship Id="rId749" Type="http://schemas.openxmlformats.org/officeDocument/2006/relationships/hyperlink" Target="https://my.zakupki.prom.ua/remote/dispatcher/state_contracting_view/5147834" TargetMode="External"/>
  <ns0:Relationship Id="rId750" Type="http://schemas.openxmlformats.org/officeDocument/2006/relationships/hyperlink" Target="https://my.zakupki.prom.ua/remote/dispatcher/state_purchase_view/17332933" TargetMode="External"/>
  <ns0:Relationship Id="rId751" Type="http://schemas.openxmlformats.org/officeDocument/2006/relationships/hyperlink" Target="https://my.zakupki.prom.ua/remote/dispatcher/state_contracting_view/4575767" TargetMode="External"/>
  <ns0:Relationship Id="rId752" Type="http://schemas.openxmlformats.org/officeDocument/2006/relationships/hyperlink" Target="https://my.zakupki.prom.ua/remote/dispatcher/state_purchase_view/17067340" TargetMode="External"/>
  <ns0:Relationship Id="rId753" Type="http://schemas.openxmlformats.org/officeDocument/2006/relationships/hyperlink" Target="https://my.zakupki.prom.ua/remote/dispatcher/state_contracting_view/4453470" TargetMode="External"/>
  <ns0:Relationship Id="rId754" Type="http://schemas.openxmlformats.org/officeDocument/2006/relationships/hyperlink" Target="https://my.zakupki.prom.ua/remote/dispatcher/state_purchase_view/17241264" TargetMode="External"/>
  <ns0:Relationship Id="rId755" Type="http://schemas.openxmlformats.org/officeDocument/2006/relationships/hyperlink" Target="https://my.zakupki.prom.ua/remote/dispatcher/state_contracting_view/4533290" TargetMode="External"/>
  <ns0:Relationship Id="rId756" Type="http://schemas.openxmlformats.org/officeDocument/2006/relationships/hyperlink" Target="https://my.zakupki.prom.ua/remote/dispatcher/state_purchase_view/18800706" TargetMode="External"/>
  <ns0:Relationship Id="rId757" Type="http://schemas.openxmlformats.org/officeDocument/2006/relationships/hyperlink" Target="https://my.zakupki.prom.ua/remote/dispatcher/state_contracting_view/5262164" TargetMode="External"/>
  <ns0:Relationship Id="rId758" Type="http://schemas.openxmlformats.org/officeDocument/2006/relationships/hyperlink" Target="https://my.zakupki.prom.ua/remote/dispatcher/state_purchase_view/18796200" TargetMode="External"/>
  <ns0:Relationship Id="rId759" Type="http://schemas.openxmlformats.org/officeDocument/2006/relationships/hyperlink" Target="https://my.zakupki.prom.ua/remote/dispatcher/state_contracting_view/5260072" TargetMode="External"/>
  <ns0:Relationship Id="rId760" Type="http://schemas.openxmlformats.org/officeDocument/2006/relationships/hyperlink" Target="https://my.zakupki.prom.ua/remote/dispatcher/state_purchase_view/19323566" TargetMode="External"/>
  <ns0:Relationship Id="rId761" Type="http://schemas.openxmlformats.org/officeDocument/2006/relationships/hyperlink" Target="https://my.zakupki.prom.ua/remote/dispatcher/state_contracting_view/5509476" TargetMode="External"/>
  <ns0:Relationship Id="rId762" Type="http://schemas.openxmlformats.org/officeDocument/2006/relationships/hyperlink" Target="https://my.zakupki.prom.ua/remote/dispatcher/state_purchase_view/19451271" TargetMode="External"/>
  <ns0:Relationship Id="rId763" Type="http://schemas.openxmlformats.org/officeDocument/2006/relationships/hyperlink" Target="https://my.zakupki.prom.ua/remote/dispatcher/state_contracting_view/5569314" TargetMode="External"/>
  <ns0:Relationship Id="rId764" Type="http://schemas.openxmlformats.org/officeDocument/2006/relationships/hyperlink" Target="https://my.zakupki.prom.ua/remote/dispatcher/state_purchase_view/20015770" TargetMode="External"/>
  <ns0:Relationship Id="rId765" Type="http://schemas.openxmlformats.org/officeDocument/2006/relationships/hyperlink" Target="https://my.zakupki.prom.ua/remote/dispatcher/state_contracting_view/5834746" TargetMode="External"/>
  <ns0:Relationship Id="rId766" Type="http://schemas.openxmlformats.org/officeDocument/2006/relationships/hyperlink" Target="https://my.zakupki.prom.ua/remote/dispatcher/state_purchase_view/20036395" TargetMode="External"/>
  <ns0:Relationship Id="rId767" Type="http://schemas.openxmlformats.org/officeDocument/2006/relationships/hyperlink" Target="https://my.zakupki.prom.ua/remote/dispatcher/state_contracting_view/5844592" TargetMode="External"/>
  <ns0:Relationship Id="rId768" Type="http://schemas.openxmlformats.org/officeDocument/2006/relationships/hyperlink" Target="https://my.zakupki.prom.ua/remote/dispatcher/state_purchase_view/20210447" TargetMode="External"/>
  <ns0:Relationship Id="rId769" Type="http://schemas.openxmlformats.org/officeDocument/2006/relationships/hyperlink" Target="https://my.zakupki.prom.ua/remote/dispatcher/state_contracting_view/5927507" TargetMode="External"/>
  <ns0:Relationship Id="rId770" Type="http://schemas.openxmlformats.org/officeDocument/2006/relationships/hyperlink" Target="https://my.zakupki.prom.ua/remote/dispatcher/state_purchase_view/20203611" TargetMode="External"/>
  <ns0:Relationship Id="rId771" Type="http://schemas.openxmlformats.org/officeDocument/2006/relationships/hyperlink" Target="https://my.zakupki.prom.ua/remote/dispatcher/state_contracting_view/5924398" TargetMode="External"/>
  <ns0:Relationship Id="rId772" Type="http://schemas.openxmlformats.org/officeDocument/2006/relationships/hyperlink" Target="https://my.zakupki.prom.ua/remote/dispatcher/state_purchase_view/18983054" TargetMode="External"/>
  <ns0:Relationship Id="rId773" Type="http://schemas.openxmlformats.org/officeDocument/2006/relationships/hyperlink" Target="https://my.zakupki.prom.ua/remote/dispatcher/state_contracting_view/5348148" TargetMode="External"/>
  <ns0:Relationship Id="rId774" Type="http://schemas.openxmlformats.org/officeDocument/2006/relationships/hyperlink" Target="https://my.zakupki.prom.ua/remote/dispatcher/state_purchase_view/18898795" TargetMode="External"/>
  <ns0:Relationship Id="rId775" Type="http://schemas.openxmlformats.org/officeDocument/2006/relationships/hyperlink" Target="https://my.zakupki.prom.ua/remote/dispatcher/state_contracting_view/5308458" TargetMode="External"/>
  <ns0:Relationship Id="rId776" Type="http://schemas.openxmlformats.org/officeDocument/2006/relationships/hyperlink" Target="https://my.zakupki.prom.ua/remote/dispatcher/state_purchase_view/19233021" TargetMode="External"/>
  <ns0:Relationship Id="rId777" Type="http://schemas.openxmlformats.org/officeDocument/2006/relationships/hyperlink" Target="https://my.zakupki.prom.ua/remote/dispatcher/state_contracting_view/5466618" TargetMode="External"/>
  <ns0:Relationship Id="rId778" Type="http://schemas.openxmlformats.org/officeDocument/2006/relationships/hyperlink" Target="https://my.zakupki.prom.ua/remote/dispatcher/state_purchase_view/19122031" TargetMode="External"/>
  <ns0:Relationship Id="rId779" Type="http://schemas.openxmlformats.org/officeDocument/2006/relationships/hyperlink" Target="https://my.zakupki.prom.ua/remote/dispatcher/state_contracting_view/5413766" TargetMode="External"/>
  <ns0:Relationship Id="rId780" Type="http://schemas.openxmlformats.org/officeDocument/2006/relationships/hyperlink" Target="https://my.zakupki.prom.ua/remote/dispatcher/state_purchase_view/19113914" TargetMode="External"/>
  <ns0:Relationship Id="rId781" Type="http://schemas.openxmlformats.org/officeDocument/2006/relationships/hyperlink" Target="https://my.zakupki.prom.ua/remote/dispatcher/state_contracting_view/5410327" TargetMode="External"/>
  <ns0:Relationship Id="rId782" Type="http://schemas.openxmlformats.org/officeDocument/2006/relationships/hyperlink" Target="https://my.zakupki.prom.ua/remote/dispatcher/state_purchase_view/18646333" TargetMode="External"/>
  <ns0:Relationship Id="rId783" Type="http://schemas.openxmlformats.org/officeDocument/2006/relationships/hyperlink" Target="https://my.zakupki.prom.ua/remote/dispatcher/state_contracting_view/5187296" TargetMode="External"/>
  <ns0:Relationship Id="rId784" Type="http://schemas.openxmlformats.org/officeDocument/2006/relationships/hyperlink" Target="https://my.zakupki.prom.ua/remote/dispatcher/state_purchase_view/19350499" TargetMode="External"/>
  <ns0:Relationship Id="rId785" Type="http://schemas.openxmlformats.org/officeDocument/2006/relationships/hyperlink" Target="https://my.zakupki.prom.ua/remote/dispatcher/state_contracting_view/5522551" TargetMode="External"/>
  <ns0:Relationship Id="rId786" Type="http://schemas.openxmlformats.org/officeDocument/2006/relationships/hyperlink" Target="https://my.zakupki.prom.ua/remote/dispatcher/state_purchase_view/19214324" TargetMode="External"/>
  <ns0:Relationship Id="rId787" Type="http://schemas.openxmlformats.org/officeDocument/2006/relationships/hyperlink" Target="https://my.zakupki.prom.ua/remote/dispatcher/state_contracting_view/5457062" TargetMode="External"/>
  <ns0:Relationship Id="rId788" Type="http://schemas.openxmlformats.org/officeDocument/2006/relationships/hyperlink" Target="https://my.zakupki.prom.ua/remote/dispatcher/state_purchase_view/17885802" TargetMode="External"/>
  <ns0:Relationship Id="rId789" Type="http://schemas.openxmlformats.org/officeDocument/2006/relationships/hyperlink" Target="https://my.zakupki.prom.ua/remote/dispatcher/state_contracting_view/4832395" TargetMode="External"/>
  <ns0:Relationship Id="rId790" Type="http://schemas.openxmlformats.org/officeDocument/2006/relationships/hyperlink" Target="https://my.zakupki.prom.ua/remote/dispatcher/state_purchase_view/17691252" TargetMode="External"/>
  <ns0:Relationship Id="rId791" Type="http://schemas.openxmlformats.org/officeDocument/2006/relationships/hyperlink" Target="https://my.zakupki.prom.ua/remote/dispatcher/state_contracting_view/4741799" TargetMode="External"/>
  <ns0:Relationship Id="rId792" Type="http://schemas.openxmlformats.org/officeDocument/2006/relationships/hyperlink" Target="https://my.zakupki.prom.ua/remote/dispatcher/state_purchase_view/17762332" TargetMode="External"/>
  <ns0:Relationship Id="rId793" Type="http://schemas.openxmlformats.org/officeDocument/2006/relationships/hyperlink" Target="https://my.zakupki.prom.ua/remote/dispatcher/state_contracting_view/4775199" TargetMode="External"/>
  <ns0:Relationship Id="rId794" Type="http://schemas.openxmlformats.org/officeDocument/2006/relationships/hyperlink" Target="https://my.zakupki.prom.ua/remote/dispatcher/state_purchase_view/18131561" TargetMode="External"/>
  <ns0:Relationship Id="rId795" Type="http://schemas.openxmlformats.org/officeDocument/2006/relationships/hyperlink" Target="https://my.zakupki.prom.ua/remote/dispatcher/state_contracting_view/4947558" TargetMode="External"/>
  <ns0:Relationship Id="rId796" Type="http://schemas.openxmlformats.org/officeDocument/2006/relationships/hyperlink" Target="https://my.zakupki.prom.ua/remote/dispatcher/state_purchase_view/18200723" TargetMode="External"/>
  <ns0:Relationship Id="rId797" Type="http://schemas.openxmlformats.org/officeDocument/2006/relationships/hyperlink" Target="https://my.zakupki.prom.ua/remote/dispatcher/state_contracting_view/4980106" TargetMode="External"/>
  <ns0:Relationship Id="rId798" Type="http://schemas.openxmlformats.org/officeDocument/2006/relationships/hyperlink" Target="https://my.zakupki.prom.ua/remote/dispatcher/state_purchase_view/18203296" TargetMode="External"/>
  <ns0:Relationship Id="rId799" Type="http://schemas.openxmlformats.org/officeDocument/2006/relationships/hyperlink" Target="https://my.zakupki.prom.ua/remote/dispatcher/state_contracting_view/4981402" TargetMode="External"/>
  <ns0:Relationship Id="rId800" Type="http://schemas.openxmlformats.org/officeDocument/2006/relationships/hyperlink" Target="https://my.zakupki.prom.ua/remote/dispatcher/state_purchase_view/18183969" TargetMode="External"/>
  <ns0:Relationship Id="rId801" Type="http://schemas.openxmlformats.org/officeDocument/2006/relationships/hyperlink" Target="https://my.zakupki.prom.ua/remote/dispatcher/state_contracting_view/4972445" TargetMode="External"/>
  <ns0:Relationship Id="rId802" Type="http://schemas.openxmlformats.org/officeDocument/2006/relationships/hyperlink" Target="https://my.zakupki.prom.ua/remote/dispatcher/state_purchase_view/17095833" TargetMode="External"/>
  <ns0:Relationship Id="rId803" Type="http://schemas.openxmlformats.org/officeDocument/2006/relationships/hyperlink" Target="https://my.zakupki.prom.ua/remote/dispatcher/state_contracting_view/4466877" TargetMode="External"/>
  <ns0:Relationship Id="rId804" Type="http://schemas.openxmlformats.org/officeDocument/2006/relationships/hyperlink" Target="https://my.zakupki.prom.ua/remote/dispatcher/state_purchase_view/16303711" TargetMode="External"/>
  <ns0:Relationship Id="rId805" Type="http://schemas.openxmlformats.org/officeDocument/2006/relationships/hyperlink" Target="https://my.zakupki.prom.ua/remote/dispatcher/state_contracting_view/4124681" TargetMode="External"/>
  <ns0:Relationship Id="rId806" Type="http://schemas.openxmlformats.org/officeDocument/2006/relationships/hyperlink" Target="https://my.zakupki.prom.ua/remote/dispatcher/state_purchase_view/16057765" TargetMode="External"/>
  <ns0:Relationship Id="rId807" Type="http://schemas.openxmlformats.org/officeDocument/2006/relationships/hyperlink" Target="https://my.zakupki.prom.ua/remote/dispatcher/state_contracting_view/4034569" TargetMode="External"/>
  <ns0:Relationship Id="rId808" Type="http://schemas.openxmlformats.org/officeDocument/2006/relationships/hyperlink" Target="https://my.zakupki.prom.ua/remote/dispatcher/state_purchase_view/19793521" TargetMode="External"/>
  <ns0:Relationship Id="rId809" Type="http://schemas.openxmlformats.org/officeDocument/2006/relationships/hyperlink" Target="https://my.zakupki.prom.ua/remote/dispatcher/state_contracting_view/5731057" TargetMode="External"/>
  <ns0:Relationship Id="rId810" Type="http://schemas.openxmlformats.org/officeDocument/2006/relationships/hyperlink" Target="https://my.zakupki.prom.ua/remote/dispatcher/state_purchase_view/19754245" TargetMode="External"/>
  <ns0:Relationship Id="rId811" Type="http://schemas.openxmlformats.org/officeDocument/2006/relationships/hyperlink" Target="https://my.zakupki.prom.ua/remote/dispatcher/state_contracting_view/5714852" TargetMode="External"/>
  <ns0:Relationship Id="rId812" Type="http://schemas.openxmlformats.org/officeDocument/2006/relationships/hyperlink" Target="https://my.zakupki.prom.ua/remote/dispatcher/state_purchase_view/19753841" TargetMode="External"/>
  <ns0:Relationship Id="rId813" Type="http://schemas.openxmlformats.org/officeDocument/2006/relationships/hyperlink" Target="https://my.zakupki.prom.ua/remote/dispatcher/state_contracting_view/5715243" TargetMode="External"/>
  <ns0:Relationship Id="rId814" Type="http://schemas.openxmlformats.org/officeDocument/2006/relationships/hyperlink" Target="https://my.zakupki.prom.ua/remote/dispatcher/state_purchase_view/19663012" TargetMode="External"/>
  <ns0:Relationship Id="rId815" Type="http://schemas.openxmlformats.org/officeDocument/2006/relationships/hyperlink" Target="https://my.zakupki.prom.ua/remote/dispatcher/state_contracting_view/5670433" TargetMode="External"/>
  <ns0:Relationship Id="rId816" Type="http://schemas.openxmlformats.org/officeDocument/2006/relationships/hyperlink" Target="https://my.zakupki.prom.ua/remote/dispatcher/state_purchase_view/19636312" TargetMode="External"/>
  <ns0:Relationship Id="rId817" Type="http://schemas.openxmlformats.org/officeDocument/2006/relationships/hyperlink" Target="https://my.zakupki.prom.ua/remote/dispatcher/state_contracting_view/5657566" TargetMode="External"/>
  <ns0:Relationship Id="rId818" Type="http://schemas.openxmlformats.org/officeDocument/2006/relationships/hyperlink" Target="https://my.zakupki.prom.ua/remote/dispatcher/state_purchase_view/19835354" TargetMode="External"/>
  <ns0:Relationship Id="rId819" Type="http://schemas.openxmlformats.org/officeDocument/2006/relationships/hyperlink" Target="https://my.zakupki.prom.ua/remote/dispatcher/state_contracting_view/5750550" TargetMode="External"/>
  <ns0:Relationship Id="rId820" Type="http://schemas.openxmlformats.org/officeDocument/2006/relationships/hyperlink" Target="https://my.zakupki.prom.ua/remote/dispatcher/state_purchase_view/20583871" TargetMode="External"/>
  <ns0:Relationship Id="rId821" Type="http://schemas.openxmlformats.org/officeDocument/2006/relationships/hyperlink" Target="https://my.zakupki.prom.ua/remote/dispatcher/state_contracting_view/6110912" TargetMode="External"/>
  <ns0:Relationship Id="rId822" Type="http://schemas.openxmlformats.org/officeDocument/2006/relationships/hyperlink" Target="https://my.zakupki.prom.ua/remote/dispatcher/state_purchase_view/20582876" TargetMode="External"/>
  <ns0:Relationship Id="rId823" Type="http://schemas.openxmlformats.org/officeDocument/2006/relationships/hyperlink" Target="https://my.zakupki.prom.ua/remote/dispatcher/state_contracting_view/6110528" TargetMode="External"/>
  <ns0:Relationship Id="rId824" Type="http://schemas.openxmlformats.org/officeDocument/2006/relationships/hyperlink" Target="https://my.zakupki.prom.ua/remote/dispatcher/state_purchase_view/20582406" TargetMode="External"/>
  <ns0:Relationship Id="rId825" Type="http://schemas.openxmlformats.org/officeDocument/2006/relationships/hyperlink" Target="https://my.zakupki.prom.ua/remote/dispatcher/state_contracting_view/6119294" TargetMode="External"/>
  <ns0:Relationship Id="rId826" Type="http://schemas.openxmlformats.org/officeDocument/2006/relationships/hyperlink" Target="https://my.zakupki.prom.ua/remote/dispatcher/state_purchase_view/20888359" TargetMode="External"/>
  <ns0:Relationship Id="rId827" Type="http://schemas.openxmlformats.org/officeDocument/2006/relationships/hyperlink" Target="https://my.zakupki.prom.ua/remote/dispatcher/state_contracting_view/6254875" TargetMode="External"/>
  <ns0:Relationship Id="rId828" Type="http://schemas.openxmlformats.org/officeDocument/2006/relationships/hyperlink" Target="https://my.zakupki.prom.ua/remote/dispatcher/state_purchase_view/20882313" TargetMode="External"/>
  <ns0:Relationship Id="rId829" Type="http://schemas.openxmlformats.org/officeDocument/2006/relationships/hyperlink" Target="https://my.zakupki.prom.ua/remote/dispatcher/state_contracting_view/6252333" TargetMode="External"/>
  <ns0:Relationship Id="rId830" Type="http://schemas.openxmlformats.org/officeDocument/2006/relationships/hyperlink" Target="https://my.zakupki.prom.ua/remote/dispatcher/state_purchase_view/20979300" TargetMode="External"/>
  <ns0:Relationship Id="rId831" Type="http://schemas.openxmlformats.org/officeDocument/2006/relationships/hyperlink" Target="https://my.zakupki.prom.ua/remote/dispatcher/state_contracting_view/6298434" TargetMode="External"/>
  <ns0:Relationship Id="rId832" Type="http://schemas.openxmlformats.org/officeDocument/2006/relationships/hyperlink" Target="https://my.zakupki.prom.ua/remote/dispatcher/state_purchase_view/20982819" TargetMode="External"/>
  <ns0:Relationship Id="rId833" Type="http://schemas.openxmlformats.org/officeDocument/2006/relationships/hyperlink" Target="https://my.zakupki.prom.ua/remote/dispatcher/state_contracting_view/6299850" TargetMode="External"/>
  <ns0:Relationship Id="rId834" Type="http://schemas.openxmlformats.org/officeDocument/2006/relationships/hyperlink" Target="https://my.zakupki.prom.ua/remote/dispatcher/state_purchase_view/20726687" TargetMode="External"/>
  <ns0:Relationship Id="rId835" Type="http://schemas.openxmlformats.org/officeDocument/2006/relationships/hyperlink" Target="https://my.zakupki.prom.ua/remote/dispatcher/state_contracting_view/6177889" TargetMode="External"/>
  <ns0:Relationship Id="rId836" Type="http://schemas.openxmlformats.org/officeDocument/2006/relationships/hyperlink" Target="https://my.zakupki.prom.ua/remote/dispatcher/state_purchase_view/19508564" TargetMode="External"/>
  <ns0:Relationship Id="rId837" Type="http://schemas.openxmlformats.org/officeDocument/2006/relationships/hyperlink" Target="https://my.zakupki.prom.ua/remote/dispatcher/state_contracting_view/5596747" TargetMode="External"/>
  <ns0:Relationship Id="rId838" Type="http://schemas.openxmlformats.org/officeDocument/2006/relationships/hyperlink" Target="https://my.zakupki.prom.ua/remote/dispatcher/state_purchase_view/19695472" TargetMode="External"/>
  <ns0:Relationship Id="rId839" Type="http://schemas.openxmlformats.org/officeDocument/2006/relationships/hyperlink" Target="https://my.zakupki.prom.ua/remote/dispatcher/state_contracting_view/5686097" TargetMode="External"/>
  <ns0:Relationship Id="rId840" Type="http://schemas.openxmlformats.org/officeDocument/2006/relationships/hyperlink" Target="https://my.zakupki.prom.ua/remote/dispatcher/state_purchase_view/17562209" TargetMode="External"/>
  <ns0:Relationship Id="rId841" Type="http://schemas.openxmlformats.org/officeDocument/2006/relationships/hyperlink" Target="https://my.zakupki.prom.ua/remote/dispatcher/state_contracting_view/4682955" TargetMode="External"/>
  <ns0:Relationship Id="rId842" Type="http://schemas.openxmlformats.org/officeDocument/2006/relationships/hyperlink" Target="https://my.zakupki.prom.ua/remote/dispatcher/state_purchase_view/18337146" TargetMode="External"/>
  <ns0:Relationship Id="rId843" Type="http://schemas.openxmlformats.org/officeDocument/2006/relationships/hyperlink" Target="https://my.zakupki.prom.ua/remote/dispatcher/state_contracting_view/5042262" TargetMode="External"/>
  <ns0:Relationship Id="rId844" Type="http://schemas.openxmlformats.org/officeDocument/2006/relationships/hyperlink" Target="https://my.zakupki.prom.ua/remote/dispatcher/state_purchase_view/18318614" TargetMode="External"/>
  <ns0:Relationship Id="rId845" Type="http://schemas.openxmlformats.org/officeDocument/2006/relationships/hyperlink" Target="https://my.zakupki.prom.ua/remote/dispatcher/state_contracting_view/5033607" TargetMode="External"/>
  <ns0:Relationship Id="rId846" Type="http://schemas.openxmlformats.org/officeDocument/2006/relationships/hyperlink" Target="https://my.zakupki.prom.ua/remote/dispatcher/state_purchase_view/17654122" TargetMode="External"/>
  <ns0:Relationship Id="rId847" Type="http://schemas.openxmlformats.org/officeDocument/2006/relationships/hyperlink" Target="https://my.zakupki.prom.ua/remote/dispatcher/state_contracting_view/4724804" TargetMode="External"/>
  <ns0:Relationship Id="rId848" Type="http://schemas.openxmlformats.org/officeDocument/2006/relationships/hyperlink" Target="https://my.zakupki.prom.ua/remote/dispatcher/state_purchase_view/17886830" TargetMode="External"/>
  <ns0:Relationship Id="rId849" Type="http://schemas.openxmlformats.org/officeDocument/2006/relationships/hyperlink" Target="https://my.zakupki.prom.ua/remote/dispatcher/state_contracting_view/4832732" TargetMode="External"/>
  <ns0:Relationship Id="rId850" Type="http://schemas.openxmlformats.org/officeDocument/2006/relationships/hyperlink" Target="https://my.zakupki.prom.ua/remote/dispatcher/state_purchase_view/17532049" TargetMode="External"/>
  <ns0:Relationship Id="rId851" Type="http://schemas.openxmlformats.org/officeDocument/2006/relationships/hyperlink" Target="https://my.zakupki.prom.ua/remote/dispatcher/state_contracting_view/4668317" TargetMode="External"/>
  <ns0:Relationship Id="rId852" Type="http://schemas.openxmlformats.org/officeDocument/2006/relationships/hyperlink" Target="https://my.zakupki.prom.ua/remote/dispatcher/state_purchase_view/18209576" TargetMode="External"/>
  <ns0:Relationship Id="rId853" Type="http://schemas.openxmlformats.org/officeDocument/2006/relationships/hyperlink" Target="https://my.zakupki.prom.ua/remote/dispatcher/state_contracting_view/4984366" TargetMode="External"/>
  <ns0:Relationship Id="rId854" Type="http://schemas.openxmlformats.org/officeDocument/2006/relationships/hyperlink" Target="https://my.zakupki.prom.ua/remote/dispatcher/state_purchase_view/20013486" TargetMode="External"/>
  <ns0:Relationship Id="rId855" Type="http://schemas.openxmlformats.org/officeDocument/2006/relationships/hyperlink" Target="https://my.zakupki.prom.ua/remote/dispatcher/state_contracting_view/5833731" TargetMode="External"/>
  <ns0:Relationship Id="rId856" Type="http://schemas.openxmlformats.org/officeDocument/2006/relationships/hyperlink" Target="https://my.zakupki.prom.ua/remote/dispatcher/state_purchase_view/20113124" TargetMode="External"/>
  <ns0:Relationship Id="rId857" Type="http://schemas.openxmlformats.org/officeDocument/2006/relationships/hyperlink" Target="https://my.zakupki.prom.ua/remote/dispatcher/state_contracting_view/5881524" TargetMode="External"/>
  <ns0:Relationship Id="rId858" Type="http://schemas.openxmlformats.org/officeDocument/2006/relationships/hyperlink" Target="https://my.zakupki.prom.ua/remote/dispatcher/state_purchase_view/20275290" TargetMode="External"/>
  <ns0:Relationship Id="rId859" Type="http://schemas.openxmlformats.org/officeDocument/2006/relationships/hyperlink" Target="https://my.zakupki.prom.ua/remote/dispatcher/state_contracting_view/5959314" TargetMode="External"/>
  <ns0:Relationship Id="rId860" Type="http://schemas.openxmlformats.org/officeDocument/2006/relationships/hyperlink" Target="https://my.zakupki.prom.ua/remote/dispatcher/state_purchase_view/21185247" TargetMode="External"/>
  <ns0:Relationship Id="rId861" Type="http://schemas.openxmlformats.org/officeDocument/2006/relationships/hyperlink" Target="https://my.zakupki.prom.ua/remote/dispatcher/state_contracting_view/6394111" TargetMode="External"/>
  <ns0:Relationship Id="rId862" Type="http://schemas.openxmlformats.org/officeDocument/2006/relationships/hyperlink" Target="https://my.zakupki.prom.ua/remote/dispatcher/state_purchase_view/21153388" TargetMode="External"/>
  <ns0:Relationship Id="rId863" Type="http://schemas.openxmlformats.org/officeDocument/2006/relationships/hyperlink" Target="https://my.zakupki.prom.ua/remote/dispatcher/state_contracting_view/6379165" TargetMode="External"/>
  <ns0:Relationship Id="rId864" Type="http://schemas.openxmlformats.org/officeDocument/2006/relationships/hyperlink" Target="https://my.zakupki.prom.ua/remote/dispatcher/state_purchase_view/21366695" TargetMode="External"/>
  <ns0:Relationship Id="rId865" Type="http://schemas.openxmlformats.org/officeDocument/2006/relationships/hyperlink" Target="https://my.zakupki.prom.ua/remote/dispatcher/state_contracting_view/6478298" TargetMode="External"/>
  <ns0:Relationship Id="rId866" Type="http://schemas.openxmlformats.org/officeDocument/2006/relationships/hyperlink" Target="https://my.zakupki.prom.ua/remote/dispatcher/state_purchase_view/21312592" TargetMode="External"/>
  <ns0:Relationship Id="rId867" Type="http://schemas.openxmlformats.org/officeDocument/2006/relationships/hyperlink" Target="https://my.zakupki.prom.ua/remote/dispatcher/state_contracting_view/6452759" TargetMode="External"/>
  <ns0:Relationship Id="rId868" Type="http://schemas.openxmlformats.org/officeDocument/2006/relationships/hyperlink" Target="https://my.zakupki.prom.ua/remote/dispatcher/state_purchase_view/18786507" TargetMode="External"/>
  <ns0:Relationship Id="rId869" Type="http://schemas.openxmlformats.org/officeDocument/2006/relationships/hyperlink" Target="https://my.zakupki.prom.ua/remote/dispatcher/state_contracting_view/5255165" TargetMode="External"/>
  <ns0:Relationship Id="rId870" Type="http://schemas.openxmlformats.org/officeDocument/2006/relationships/hyperlink" Target="https://my.zakupki.prom.ua/remote/dispatcher/state_purchase_view/18482419" TargetMode="External"/>
  <ns0:Relationship Id="rId871" Type="http://schemas.openxmlformats.org/officeDocument/2006/relationships/hyperlink" Target="https://my.zakupki.prom.ua/remote/dispatcher/state_contracting_view/5110845" TargetMode="External"/>
  <ns0:Relationship Id="rId872" Type="http://schemas.openxmlformats.org/officeDocument/2006/relationships/hyperlink" Target="https://my.zakupki.prom.ua/remote/dispatcher/state_purchase_view/18426917" TargetMode="External"/>
  <ns0:Relationship Id="rId873" Type="http://schemas.openxmlformats.org/officeDocument/2006/relationships/hyperlink" Target="https://my.zakupki.prom.ua/remote/dispatcher/state_contracting_view/5084910" TargetMode="External"/>
  <ns0:Relationship Id="rId874" Type="http://schemas.openxmlformats.org/officeDocument/2006/relationships/hyperlink" Target="https://my.zakupki.prom.ua/remote/dispatcher/state_purchase_view/18513064" TargetMode="External"/>
  <ns0:Relationship Id="rId875" Type="http://schemas.openxmlformats.org/officeDocument/2006/relationships/hyperlink" Target="https://my.zakupki.prom.ua/remote/dispatcher/state_contracting_view/5124965" TargetMode="External"/>
  <ns0:Relationship Id="rId876" Type="http://schemas.openxmlformats.org/officeDocument/2006/relationships/hyperlink" Target="https://my.zakupki.prom.ua/remote/dispatcher/state_purchase_view/18600475" TargetMode="External"/>
  <ns0:Relationship Id="rId877" Type="http://schemas.openxmlformats.org/officeDocument/2006/relationships/hyperlink" Target="https://my.zakupki.prom.ua/remote/dispatcher/state_contracting_view/5165949" TargetMode="External"/>
  <ns0:Relationship Id="rId878" Type="http://schemas.openxmlformats.org/officeDocument/2006/relationships/hyperlink" Target="https://my.zakupki.prom.ua/remote/dispatcher/state_purchase_view/18778063" TargetMode="External"/>
  <ns0:Relationship Id="rId879" Type="http://schemas.openxmlformats.org/officeDocument/2006/relationships/hyperlink" Target="https://my.zakupki.prom.ua/remote/dispatcher/state_contracting_view/5252726" TargetMode="External"/>
  <ns0:Relationship Id="rId880" Type="http://schemas.openxmlformats.org/officeDocument/2006/relationships/hyperlink" Target="https://my.zakupki.prom.ua/remote/dispatcher/state_purchase_view/18264161" TargetMode="External"/>
  <ns0:Relationship Id="rId881" Type="http://schemas.openxmlformats.org/officeDocument/2006/relationships/hyperlink" Target="https://my.zakupki.prom.ua/remote/dispatcher/state_contracting_view/5076821" TargetMode="External"/>
  <ns0:Relationship Id="rId882" Type="http://schemas.openxmlformats.org/officeDocument/2006/relationships/hyperlink" Target="https://my.zakupki.prom.ua/remote/dispatcher/state_purchase_view/18302407" TargetMode="External"/>
  <ns0:Relationship Id="rId883" Type="http://schemas.openxmlformats.org/officeDocument/2006/relationships/hyperlink" Target="https://my.zakupki.prom.ua/remote/dispatcher/state_contracting_view/5076969" TargetMode="External"/>
  <ns0:Relationship Id="rId884" Type="http://schemas.openxmlformats.org/officeDocument/2006/relationships/hyperlink" Target="https://my.zakupki.prom.ua/remote/dispatcher/state_purchase_view/20427417" TargetMode="External"/>
  <ns0:Relationship Id="rId885" Type="http://schemas.openxmlformats.org/officeDocument/2006/relationships/hyperlink" Target="https://my.zakupki.prom.ua/remote/dispatcher/state_contracting_view/6033161" TargetMode="External"/>
  <ns0:Relationship Id="rId886" Type="http://schemas.openxmlformats.org/officeDocument/2006/relationships/hyperlink" Target="https://my.zakupki.prom.ua/remote/dispatcher/state_purchase_view/20730563" TargetMode="External"/>
  <ns0:Relationship Id="rId887" Type="http://schemas.openxmlformats.org/officeDocument/2006/relationships/hyperlink" Target="https://my.zakupki.prom.ua/remote/dispatcher/state_contracting_view/6179760" TargetMode="External"/>
  <ns0:Relationship Id="rId888" Type="http://schemas.openxmlformats.org/officeDocument/2006/relationships/hyperlink" Target="https://my.zakupki.prom.ua/remote/dispatcher/state_purchase_view/17723666" TargetMode="External"/>
  <ns0:Relationship Id="rId889" Type="http://schemas.openxmlformats.org/officeDocument/2006/relationships/hyperlink" Target="https://my.zakupki.prom.ua/remote/dispatcher/state_contracting_view/4757212" TargetMode="External"/>
  <ns0:Relationship Id="rId890" Type="http://schemas.openxmlformats.org/officeDocument/2006/relationships/hyperlink" Target="https://my.zakupki.prom.ua/remote/dispatcher/state_purchase_view/17327283" TargetMode="External"/>
  <ns0:Relationship Id="rId891" Type="http://schemas.openxmlformats.org/officeDocument/2006/relationships/hyperlink" Target="https://my.zakupki.prom.ua/remote/dispatcher/state_contracting_view/4573461" TargetMode="External"/>
  <ns0:Relationship Id="rId892" Type="http://schemas.openxmlformats.org/officeDocument/2006/relationships/hyperlink" Target="https://my.zakupki.prom.ua/remote/dispatcher/state_purchase_view/17761243" TargetMode="External"/>
  <ns0:Relationship Id="rId893" Type="http://schemas.openxmlformats.org/officeDocument/2006/relationships/hyperlink" Target="https://my.zakupki.prom.ua/remote/dispatcher/state_contracting_view/4774266" TargetMode="External"/>
  <ns0:Relationship Id="rId894" Type="http://schemas.openxmlformats.org/officeDocument/2006/relationships/hyperlink" Target="https://my.zakupki.prom.ua/remote/dispatcher/state_purchase_view/18025995" TargetMode="External"/>
  <ns0:Relationship Id="rId895" Type="http://schemas.openxmlformats.org/officeDocument/2006/relationships/hyperlink" Target="https://my.zakupki.prom.ua/remote/dispatcher/state_contracting_view/4898068" TargetMode="External"/>
  <ns0:Relationship Id="rId896" Type="http://schemas.openxmlformats.org/officeDocument/2006/relationships/hyperlink" Target="https://my.zakupki.prom.ua/remote/dispatcher/state_purchase_view/17960258" TargetMode="External"/>
  <ns0:Relationship Id="rId897" Type="http://schemas.openxmlformats.org/officeDocument/2006/relationships/hyperlink" Target="https://my.zakupki.prom.ua/remote/dispatcher/state_contracting_view/4866886" TargetMode="External"/>
  <ns0:Relationship Id="rId898" Type="http://schemas.openxmlformats.org/officeDocument/2006/relationships/hyperlink" Target="https://my.zakupki.prom.ua/remote/dispatcher/state_purchase_view/17605058" TargetMode="External"/>
  <ns0:Relationship Id="rId899" Type="http://schemas.openxmlformats.org/officeDocument/2006/relationships/hyperlink" Target="https://my.zakupki.prom.ua/remote/dispatcher/state_contracting_view/4705263" TargetMode="External"/>
  <ns0:Relationship Id="rId900" Type="http://schemas.openxmlformats.org/officeDocument/2006/relationships/hyperlink" Target="https://my.zakupki.prom.ua/remote/dispatcher/state_purchase_view/21459502" TargetMode="External"/>
  <ns0:Relationship Id="rId901" Type="http://schemas.openxmlformats.org/officeDocument/2006/relationships/hyperlink" Target="https://my.zakupki.prom.ua/remote/dispatcher/state_contracting_view/6521610" TargetMode="External"/>
  <ns0:Relationship Id="rId902" Type="http://schemas.openxmlformats.org/officeDocument/2006/relationships/hyperlink" Target="https://my.zakupki.prom.ua/remote/dispatcher/state_purchase_view/21478321" TargetMode="External"/>
  <ns0:Relationship Id="rId903" Type="http://schemas.openxmlformats.org/officeDocument/2006/relationships/hyperlink" Target="https://my.zakupki.prom.ua/remote/dispatcher/state_contracting_view/6530541" TargetMode="External"/>
  <ns0:Relationship Id="rId904" Type="http://schemas.openxmlformats.org/officeDocument/2006/relationships/hyperlink" Target="https://my.zakupki.prom.ua/remote/dispatcher/state_purchase_view/21986126" TargetMode="External"/>
  <ns0:Relationship Id="rId905" Type="http://schemas.openxmlformats.org/officeDocument/2006/relationships/hyperlink" Target="https://my.zakupki.prom.ua/remote/dispatcher/state_contracting_view/6768370" TargetMode="External"/>
  <ns0:Relationship Id="rId906" Type="http://schemas.openxmlformats.org/officeDocument/2006/relationships/hyperlink" Target="https://my.zakupki.prom.ua/remote/dispatcher/state_purchase_view/18996695" TargetMode="External"/>
  <ns0:Relationship Id="rId907" Type="http://schemas.openxmlformats.org/officeDocument/2006/relationships/hyperlink" Target="https://my.zakupki.prom.ua/remote/dispatcher/state_contracting_view/5354666" TargetMode="External"/>
  <ns0:Relationship Id="rId908" Type="http://schemas.openxmlformats.org/officeDocument/2006/relationships/hyperlink" Target="https://my.zakupki.prom.ua/remote/dispatcher/state_purchase_view/18964474" TargetMode="External"/>
  <ns0:Relationship Id="rId909" Type="http://schemas.openxmlformats.org/officeDocument/2006/relationships/hyperlink" Target="https://my.zakupki.prom.ua/remote/dispatcher/state_contracting_view/5342289" TargetMode="External"/>
  <ns0:Relationship Id="rId910" Type="http://schemas.openxmlformats.org/officeDocument/2006/relationships/hyperlink" Target="https://my.zakupki.prom.ua/remote/dispatcher/state_purchase_view/21586641" TargetMode="External"/>
  <ns0:Relationship Id="rId911" Type="http://schemas.openxmlformats.org/officeDocument/2006/relationships/hyperlink" Target="https://my.zakupki.prom.ua/remote/dispatcher/state_contracting_view/6581560" TargetMode="External"/>
  <ns0:Relationship Id="rId912" Type="http://schemas.openxmlformats.org/officeDocument/2006/relationships/hyperlink" Target="https://my.zakupki.prom.ua/remote/dispatcher/state_purchase_view/22015592" TargetMode="External"/>
  <ns0:Relationship Id="rId913" Type="http://schemas.openxmlformats.org/officeDocument/2006/relationships/hyperlink" Target="https://my.zakupki.prom.ua/remote/dispatcher/state_contracting_view/6782546" TargetMode="External"/>
  <ns0:Relationship Id="rId914" Type="http://schemas.openxmlformats.org/officeDocument/2006/relationships/hyperlink" Target="https://my.zakupki.prom.ua/remote/dispatcher/state_purchase_view/21700588" TargetMode="External"/>
  <ns0:Relationship Id="rId915" Type="http://schemas.openxmlformats.org/officeDocument/2006/relationships/hyperlink" Target="https://my.zakupki.prom.ua/remote/dispatcher/state_contracting_view/6634794" TargetMode="External"/>
  <ns0:Relationship Id="rId916" Type="http://schemas.openxmlformats.org/officeDocument/2006/relationships/hyperlink" Target="https://my.zakupki.prom.ua/remote/dispatcher/state_purchase_view/14859168" TargetMode="External"/>
  <ns0:Relationship Id="rId917" Type="http://schemas.openxmlformats.org/officeDocument/2006/relationships/hyperlink" Target="https://my.zakupki.prom.ua/remote/dispatcher/state_contracting_view/3694488" TargetMode="External"/>
  <ns0:Relationship Id="rId918" Type="http://schemas.openxmlformats.org/officeDocument/2006/relationships/hyperlink" Target="https://my.zakupki.prom.ua/remote/dispatcher/state_purchase_view/15186276" TargetMode="External"/>
  <ns0:Relationship Id="rId919" Type="http://schemas.openxmlformats.org/officeDocument/2006/relationships/hyperlink" Target="https://my.zakupki.prom.ua/remote/dispatcher/state_contracting_view/3773601" TargetMode="External"/>
  <ns0:Relationship Id="rId920" Type="http://schemas.openxmlformats.org/officeDocument/2006/relationships/hyperlink" Target="https://my.zakupki.prom.ua/remote/dispatcher/state_purchase_view/15721296" TargetMode="External"/>
  <ns0:Relationship Id="rId921" Type="http://schemas.openxmlformats.org/officeDocument/2006/relationships/hyperlink" Target="https://my.zakupki.prom.ua/remote/dispatcher/state_contracting_view/3929769" TargetMode="External"/>
  <ns0:Relationship Id="rId922" Type="http://schemas.openxmlformats.org/officeDocument/2006/relationships/hyperlink" Target="https://my.zakupki.prom.ua/remote/dispatcher/state_purchase_view/15721920" TargetMode="External"/>
  <ns0:Relationship Id="rId923" Type="http://schemas.openxmlformats.org/officeDocument/2006/relationships/hyperlink" Target="https://my.zakupki.prom.ua/remote/dispatcher/state_contracting_view/3929941" TargetMode="External"/>
  <ns0:Relationship Id="rId924" Type="http://schemas.openxmlformats.org/officeDocument/2006/relationships/hyperlink" Target="https://my.zakupki.prom.ua/remote/dispatcher/state_purchase_view/16399634" TargetMode="External"/>
  <ns0:Relationship Id="rId925" Type="http://schemas.openxmlformats.org/officeDocument/2006/relationships/hyperlink" Target="https://my.zakupki.prom.ua/remote/dispatcher/state_contracting_view/4157025" TargetMode="External"/>
  <ns0:Relationship Id="rId926" Type="http://schemas.openxmlformats.org/officeDocument/2006/relationships/hyperlink" Target="https://my.zakupki.prom.ua/remote/dispatcher/state_purchase_view/15692992" TargetMode="External"/>
  <ns0:Relationship Id="rId927" Type="http://schemas.openxmlformats.org/officeDocument/2006/relationships/hyperlink" Target="https://my.zakupki.prom.ua/remote/dispatcher/state_contracting_view/3917035" TargetMode="External"/>
  <ns0:Relationship Id="rId928" Type="http://schemas.openxmlformats.org/officeDocument/2006/relationships/hyperlink" Target="https://my.zakupki.prom.ua/remote/dispatcher/state_purchase_view/15706702" TargetMode="External"/>
  <ns0:Relationship Id="rId929" Type="http://schemas.openxmlformats.org/officeDocument/2006/relationships/hyperlink" Target="https://my.zakupki.prom.ua/remote/dispatcher/state_contracting_view/3920942" TargetMode="External"/>
  <ns0:Relationship Id="rId930" Type="http://schemas.openxmlformats.org/officeDocument/2006/relationships/hyperlink" Target="https://my.zakupki.prom.ua/remote/dispatcher/state_purchase_view/15970236" TargetMode="External"/>
  <ns0:Relationship Id="rId931" Type="http://schemas.openxmlformats.org/officeDocument/2006/relationships/hyperlink" Target="https://my.zakupki.prom.ua/remote/dispatcher/state_contracting_view/4004857" TargetMode="External"/>
  <ns0:Relationship Id="rId932" Type="http://schemas.openxmlformats.org/officeDocument/2006/relationships/hyperlink" Target="https://my.zakupki.prom.ua/remote/dispatcher/state_purchase_view/15970409" TargetMode="External"/>
  <ns0:Relationship Id="rId933" Type="http://schemas.openxmlformats.org/officeDocument/2006/relationships/hyperlink" Target="https://my.zakupki.prom.ua/remote/dispatcher/state_contracting_view/4004978" TargetMode="External"/>
  <ns0:Relationship Id="rId934" Type="http://schemas.openxmlformats.org/officeDocument/2006/relationships/hyperlink" Target="https://my.zakupki.prom.ua/remote/dispatcher/state_purchase_view/17222996" TargetMode="External"/>
  <ns0:Relationship Id="rId935" Type="http://schemas.openxmlformats.org/officeDocument/2006/relationships/hyperlink" Target="https://my.zakupki.prom.ua/remote/dispatcher/state_contracting_view/4525228" TargetMode="External"/>
  <ns0:Relationship Id="rId936" Type="http://schemas.openxmlformats.org/officeDocument/2006/relationships/hyperlink" Target="https://my.zakupki.prom.ua/remote/dispatcher/state_purchase_view/22183218" TargetMode="External"/>
  <ns0:Relationship Id="rId937" Type="http://schemas.openxmlformats.org/officeDocument/2006/relationships/hyperlink" Target="https://my.zakupki.prom.ua/remote/dispatcher/state_contracting_view/6863878" TargetMode="External"/>
  <ns0:Relationship Id="rId938" Type="http://schemas.openxmlformats.org/officeDocument/2006/relationships/hyperlink" Target="https://my.zakupki.prom.ua/remote/dispatcher/state_purchase_view/21754507" TargetMode="External"/>
  <ns0:Relationship Id="rId939" Type="http://schemas.openxmlformats.org/officeDocument/2006/relationships/hyperlink" Target="https://my.zakupki.prom.ua/remote/dispatcher/state_contracting_view/6934638" TargetMode="External"/>
  <ns0:Relationship Id="rId940" Type="http://schemas.openxmlformats.org/officeDocument/2006/relationships/hyperlink" Target="https://my.zakupki.prom.ua/remote/dispatcher/state_purchase_view/21837693" TargetMode="External"/>
  <ns0:Relationship Id="rId941" Type="http://schemas.openxmlformats.org/officeDocument/2006/relationships/hyperlink" Target="https://my.zakupki.prom.ua/remote/dispatcher/state_contracting_view/6697188" TargetMode="External"/>
  <ns0:Relationship Id="rId942" Type="http://schemas.openxmlformats.org/officeDocument/2006/relationships/hyperlink" Target="https://my.zakupki.prom.ua/remote/dispatcher/state_purchase_view/22108606" TargetMode="External"/>
  <ns0:Relationship Id="rId943" Type="http://schemas.openxmlformats.org/officeDocument/2006/relationships/hyperlink" Target="https://my.zakupki.prom.ua/remote/dispatcher/state_contracting_view/6826840" TargetMode="External"/>
  <ns0:Relationship Id="rId944" Type="http://schemas.openxmlformats.org/officeDocument/2006/relationships/hyperlink" Target="https://my.zakupki.prom.ua/remote/dispatcher/state_purchase_view/22459321" TargetMode="External"/>
  <ns0:Relationship Id="rId945" Type="http://schemas.openxmlformats.org/officeDocument/2006/relationships/hyperlink" Target="https://my.zakupki.prom.ua/remote/dispatcher/state_contracting_view/6996396" TargetMode="External"/>
  <ns0:Relationship Id="rId946" Type="http://schemas.openxmlformats.org/officeDocument/2006/relationships/hyperlink" Target="https://my.zakupki.prom.ua/remote/dispatcher/state_purchase_view/22773445" TargetMode="External"/>
  <ns0:Relationship Id="rId947" Type="http://schemas.openxmlformats.org/officeDocument/2006/relationships/hyperlink" Target="https://my.zakupki.prom.ua/remote/dispatcher/state_contracting_view/7150161" TargetMode="External"/>
  <ns0:Relationship Id="rId948" Type="http://schemas.openxmlformats.org/officeDocument/2006/relationships/hyperlink" Target="https://my.zakupki.prom.ua/remote/dispatcher/state_purchase_view/22732581" TargetMode="External"/>
  <ns0:Relationship Id="rId949" Type="http://schemas.openxmlformats.org/officeDocument/2006/relationships/hyperlink" Target="https://my.zakupki.prom.ua/remote/dispatcher/state_contracting_view/7130542" TargetMode="External"/>
  <ns0:Relationship Id="rId950" Type="http://schemas.openxmlformats.org/officeDocument/2006/relationships/hyperlink" Target="https://my.zakupki.prom.ua/remote/dispatcher/state_purchase_view/20888768" TargetMode="External"/>
  <ns0:Relationship Id="rId951" Type="http://schemas.openxmlformats.org/officeDocument/2006/relationships/hyperlink" Target="https://my.zakupki.prom.ua/remote/dispatcher/state_contracting_view/6255321" TargetMode="External"/>
  <ns0:Relationship Id="rId952" Type="http://schemas.openxmlformats.org/officeDocument/2006/relationships/hyperlink" Target="https://my.zakupki.prom.ua/remote/dispatcher/state_purchase_view/15892547" TargetMode="External"/>
  <ns0:Relationship Id="rId953" Type="http://schemas.openxmlformats.org/officeDocument/2006/relationships/hyperlink" Target="https://my.zakupki.prom.ua/remote/dispatcher/state_contracting_view/3978715" TargetMode="External"/>
  <ns0:Relationship Id="rId954" Type="http://schemas.openxmlformats.org/officeDocument/2006/relationships/hyperlink" Target="https://my.zakupki.prom.ua/remote/dispatcher/state_purchase_view/16218588" TargetMode="External"/>
  <ns0:Relationship Id="rId955" Type="http://schemas.openxmlformats.org/officeDocument/2006/relationships/hyperlink" Target="https://my.zakupki.prom.ua/remote/dispatcher/state_contracting_view/4091381" TargetMode="External"/>
  <ns0:Relationship Id="rId956" Type="http://schemas.openxmlformats.org/officeDocument/2006/relationships/hyperlink" Target="https://my.zakupki.prom.ua/remote/dispatcher/state_purchase_view/15319948" TargetMode="External"/>
  <ns0:Relationship Id="rId957" Type="http://schemas.openxmlformats.org/officeDocument/2006/relationships/hyperlink" Target="https://my.zakupki.prom.ua/remote/dispatcher/state_contracting_view/3809257" TargetMode="External"/>
  <ns0:Relationship Id="rId958" Type="http://schemas.openxmlformats.org/officeDocument/2006/relationships/hyperlink" Target="https://my.zakupki.prom.ua/remote/dispatcher/state_purchase_view/17488754" TargetMode="External"/>
  <ns0:Relationship Id="rId959" Type="http://schemas.openxmlformats.org/officeDocument/2006/relationships/hyperlink" Target="https://my.zakupki.prom.ua/remote/dispatcher/state_contracting_view/4647863" TargetMode="External"/>
  <ns0:Relationship Id="rId960" Type="http://schemas.openxmlformats.org/officeDocument/2006/relationships/hyperlink" Target="https://my.zakupki.prom.ua/remote/dispatcher/state_purchase_view/17488975" TargetMode="External"/>
  <ns0:Relationship Id="rId961" Type="http://schemas.openxmlformats.org/officeDocument/2006/relationships/hyperlink" Target="https://my.zakupki.prom.ua/remote/dispatcher/state_contracting_view/4647910" TargetMode="External"/>
  <ns0:Relationship Id="rId962" Type="http://schemas.openxmlformats.org/officeDocument/2006/relationships/hyperlink" Target="https://my.zakupki.prom.ua/remote/dispatcher/state_purchase_view/17593860" TargetMode="External"/>
  <ns0:Relationship Id="rId963" Type="http://schemas.openxmlformats.org/officeDocument/2006/relationships/hyperlink" Target="https://my.zakupki.prom.ua/remote/dispatcher/state_contracting_view/4697000" TargetMode="External"/>
  <ns0:Relationship Id="rId964" Type="http://schemas.openxmlformats.org/officeDocument/2006/relationships/hyperlink" Target="https://my.zakupki.prom.ua/remote/dispatcher/state_purchase_view/17593985" TargetMode="External"/>
  <ns0:Relationship Id="rId965" Type="http://schemas.openxmlformats.org/officeDocument/2006/relationships/hyperlink" Target="https://my.zakupki.prom.ua/remote/dispatcher/state_contracting_view/4697068" TargetMode="External"/>
  <ns0:Relationship Id="rId966" Type="http://schemas.openxmlformats.org/officeDocument/2006/relationships/hyperlink" Target="https://my.zakupki.prom.ua/remote/dispatcher/state_purchase_view/18601157" TargetMode="External"/>
  <ns0:Relationship Id="rId967" Type="http://schemas.openxmlformats.org/officeDocument/2006/relationships/hyperlink" Target="https://my.zakupki.prom.ua/remote/dispatcher/state_contracting_view/5166370" TargetMode="External"/>
  <ns0:Relationship Id="rId968" Type="http://schemas.openxmlformats.org/officeDocument/2006/relationships/hyperlink" Target="https://my.zakupki.prom.ua/remote/dispatcher/state_purchase_view/20824501" TargetMode="External"/>
  <ns0:Relationship Id="rId969" Type="http://schemas.openxmlformats.org/officeDocument/2006/relationships/hyperlink" Target="https://my.zakupki.prom.ua/remote/dispatcher/state_contracting_view/6224339" TargetMode="External"/>
  <ns0:Relationship Id="rId970" Type="http://schemas.openxmlformats.org/officeDocument/2006/relationships/hyperlink" Target="https://my.zakupki.prom.ua/remote/dispatcher/state_purchase_view/20532044" TargetMode="External"/>
  <ns0:Relationship Id="rId971" Type="http://schemas.openxmlformats.org/officeDocument/2006/relationships/hyperlink" Target="https://my.zakupki.prom.ua/remote/dispatcher/state_contracting_view/6085814" TargetMode="External"/>
  <ns0:Relationship Id="rId972" Type="http://schemas.openxmlformats.org/officeDocument/2006/relationships/hyperlink" Target="https://my.zakupki.prom.ua/remote/dispatcher/state_purchase_view/20624044" TargetMode="External"/>
  <ns0:Relationship Id="rId973" Type="http://schemas.openxmlformats.org/officeDocument/2006/relationships/hyperlink" Target="https://my.zakupki.prom.ua/remote/dispatcher/state_contracting_view/6129534" TargetMode="External"/>
  <ns0:Relationship Id="rId974" Type="http://schemas.openxmlformats.org/officeDocument/2006/relationships/hyperlink" Target="https://my.zakupki.prom.ua/remote/dispatcher/state_purchase_view/20650401" TargetMode="External"/>
  <ns0:Relationship Id="rId975" Type="http://schemas.openxmlformats.org/officeDocument/2006/relationships/hyperlink" Target="https://my.zakupki.prom.ua/remote/dispatcher/state_contracting_view/6141648" TargetMode="External"/>
  <ns0:Relationship Id="rId976" Type="http://schemas.openxmlformats.org/officeDocument/2006/relationships/hyperlink" Target="https://my.zakupki.prom.ua/remote/dispatcher/state_purchase_view/20651051" TargetMode="External"/>
  <ns0:Relationship Id="rId977" Type="http://schemas.openxmlformats.org/officeDocument/2006/relationships/hyperlink" Target="https://my.zakupki.prom.ua/remote/dispatcher/state_contracting_view/6142019" TargetMode="External"/>
  <ns0:Relationship Id="rId978" Type="http://schemas.openxmlformats.org/officeDocument/2006/relationships/hyperlink" Target="https://my.zakupki.prom.ua/remote/dispatcher/state_purchase_view/20652453" TargetMode="External"/>
  <ns0:Relationship Id="rId979" Type="http://schemas.openxmlformats.org/officeDocument/2006/relationships/hyperlink" Target="https://my.zakupki.prom.ua/remote/dispatcher/state_contracting_view/6142931" TargetMode="External"/>
  <ns0:Relationship Id="rId980" Type="http://schemas.openxmlformats.org/officeDocument/2006/relationships/hyperlink" Target="https://my.zakupki.prom.ua/remote/dispatcher/state_purchase_view/20708064" TargetMode="External"/>
  <ns0:Relationship Id="rId981" Type="http://schemas.openxmlformats.org/officeDocument/2006/relationships/hyperlink" Target="https://my.zakupki.prom.ua/remote/dispatcher/state_contracting_view/6168923" TargetMode="External"/>
  <ns0:Relationship Id="rId982" Type="http://schemas.openxmlformats.org/officeDocument/2006/relationships/hyperlink" Target="https://my.zakupki.prom.ua/remote/dispatcher/state_purchase_view/16490325" TargetMode="External"/>
  <ns0:Relationship Id="rId983" Type="http://schemas.openxmlformats.org/officeDocument/2006/relationships/hyperlink" Target="https://my.zakupki.prom.ua/remote/dispatcher/state_contracting_view/4197929" TargetMode="External"/>
  <ns0:Relationship Id="rId984" Type="http://schemas.openxmlformats.org/officeDocument/2006/relationships/hyperlink" Target="https://my.zakupki.prom.ua/remote/dispatcher/state_purchase_view/17068935" TargetMode="External"/>
  <ns0:Relationship Id="rId985" Type="http://schemas.openxmlformats.org/officeDocument/2006/relationships/hyperlink" Target="https://my.zakupki.prom.ua/remote/dispatcher/state_contracting_view/4454318" TargetMode="External"/>
  <ns0:Relationship Id="rId986" Type="http://schemas.openxmlformats.org/officeDocument/2006/relationships/hyperlink" Target="https://my.zakupki.prom.ua/remote/dispatcher/state_purchase_view/16356153" TargetMode="External"/>
  <ns0:Relationship Id="rId987" Type="http://schemas.openxmlformats.org/officeDocument/2006/relationships/hyperlink" Target="https://my.zakupki.prom.ua/remote/dispatcher/state_contracting_view/4140115" TargetMode="External"/>
  <ns0:Relationship Id="rId988" Type="http://schemas.openxmlformats.org/officeDocument/2006/relationships/hyperlink" Target="https://my.zakupki.prom.ua/remote/dispatcher/state_purchase_view/17028909" TargetMode="External"/>
  <ns0:Relationship Id="rId989" Type="http://schemas.openxmlformats.org/officeDocument/2006/relationships/hyperlink" Target="https://my.zakupki.prom.ua/remote/dispatcher/state_contracting_view/4436477" TargetMode="External"/>
  <ns0:Relationship Id="rId990" Type="http://schemas.openxmlformats.org/officeDocument/2006/relationships/hyperlink" Target="https://my.zakupki.prom.ua/remote/dispatcher/state_purchase_view/16855951" TargetMode="External"/>
  <ns0:Relationship Id="rId991" Type="http://schemas.openxmlformats.org/officeDocument/2006/relationships/hyperlink" Target="https://my.zakupki.prom.ua/remote/dispatcher/state_contracting_view/4358153" TargetMode="External"/>
  <ns0:Relationship Id="rId992" Type="http://schemas.openxmlformats.org/officeDocument/2006/relationships/hyperlink" Target="https://my.zakupki.prom.ua/remote/dispatcher/state_purchase_view/17712770" TargetMode="External"/>
  <ns0:Relationship Id="rId993" Type="http://schemas.openxmlformats.org/officeDocument/2006/relationships/hyperlink" Target="https://my.zakupki.prom.ua/remote/dispatcher/state_contracting_view/4752255" TargetMode="External"/>
  <ns0:Relationship Id="rId994" Type="http://schemas.openxmlformats.org/officeDocument/2006/relationships/hyperlink" Target="https://my.zakupki.prom.ua/remote/dispatcher/state_purchase_view/18260190" TargetMode="External"/>
  <ns0:Relationship Id="rId995" Type="http://schemas.openxmlformats.org/officeDocument/2006/relationships/hyperlink" Target="https://my.zakupki.prom.ua/remote/dispatcher/state_contracting_view/5006684" TargetMode="External"/>
  <ns0:Relationship Id="rId996" Type="http://schemas.openxmlformats.org/officeDocument/2006/relationships/hyperlink" Target="https://my.zakupki.prom.ua/remote/dispatcher/state_purchase_view/18182742" TargetMode="External"/>
  <ns0:Relationship Id="rId997" Type="http://schemas.openxmlformats.org/officeDocument/2006/relationships/hyperlink" Target="https://my.zakupki.prom.ua/remote/dispatcher/state_contracting_view/4971725" TargetMode="External"/>
  <ns0:Relationship Id="rId998" Type="http://schemas.openxmlformats.org/officeDocument/2006/relationships/hyperlink" Target="https://my.zakupki.prom.ua/remote/dispatcher/state_purchase_view/18422914" TargetMode="External"/>
  <ns0:Relationship Id="rId999" Type="http://schemas.openxmlformats.org/officeDocument/2006/relationships/hyperlink" Target="https://my.zakupki.prom.ua/remote/dispatcher/state_contracting_view/5082239" TargetMode="External"/>
  <ns0:Relationship Id="rId1000" Type="http://schemas.openxmlformats.org/officeDocument/2006/relationships/hyperlink" Target="https://my.zakupki.prom.ua/remote/dispatcher/state_purchase_view/18267254" TargetMode="External"/>
  <ns0:Relationship Id="rId1001" Type="http://schemas.openxmlformats.org/officeDocument/2006/relationships/hyperlink" Target="https://my.zakupki.prom.ua/remote/dispatcher/state_contracting_view/5076844" TargetMode="External"/>
  <ns0:Relationship Id="rId1002" Type="http://schemas.openxmlformats.org/officeDocument/2006/relationships/hyperlink" Target="https://my.zakupki.prom.ua/remote/dispatcher/state_purchase_view/18460240" TargetMode="External"/>
  <ns0:Relationship Id="rId1003" Type="http://schemas.openxmlformats.org/officeDocument/2006/relationships/hyperlink" Target="https://my.zakupki.prom.ua/remote/dispatcher/state_contracting_view/5153624" TargetMode="External"/>
  <ns0:Relationship Id="rId1004" Type="http://schemas.openxmlformats.org/officeDocument/2006/relationships/hyperlink" Target="https://my.zakupki.prom.ua/remote/dispatcher/state_purchase_view/18313438" TargetMode="External"/>
  <ns0:Relationship Id="rId1005" Type="http://schemas.openxmlformats.org/officeDocument/2006/relationships/hyperlink" Target="https://my.zakupki.prom.ua/remote/dispatcher/state_contracting_view/5091901" TargetMode="External"/>
  <ns0:Relationship Id="rId1006" Type="http://schemas.openxmlformats.org/officeDocument/2006/relationships/hyperlink" Target="https://my.zakupki.prom.ua/remote/dispatcher/state_purchase_view/18555099" TargetMode="External"/>
  <ns0:Relationship Id="rId1007" Type="http://schemas.openxmlformats.org/officeDocument/2006/relationships/hyperlink" Target="https://my.zakupki.prom.ua/remote/dispatcher/state_contracting_view/5144742" TargetMode="External"/>
  <ns0:Relationship Id="rId1008" Type="http://schemas.openxmlformats.org/officeDocument/2006/relationships/hyperlink" Target="https://my.zakupki.prom.ua/remote/dispatcher/state_purchase_view/17441116" TargetMode="External"/>
  <ns0:Relationship Id="rId1009" Type="http://schemas.openxmlformats.org/officeDocument/2006/relationships/hyperlink" Target="https://my.zakupki.prom.ua/remote/dispatcher/state_contracting_view/4625738" TargetMode="External"/>
  <ns0:Relationship Id="rId1010" Type="http://schemas.openxmlformats.org/officeDocument/2006/relationships/hyperlink" Target="https://my.zakupki.prom.ua/remote/dispatcher/state_purchase_view/17850134" TargetMode="External"/>
  <ns0:Relationship Id="rId1011" Type="http://schemas.openxmlformats.org/officeDocument/2006/relationships/hyperlink" Target="https://my.zakupki.prom.ua/remote/dispatcher/state_contracting_view/4815835" TargetMode="External"/>
  <ns0:Relationship Id="rId1012" Type="http://schemas.openxmlformats.org/officeDocument/2006/relationships/hyperlink" Target="https://my.zakupki.prom.ua/remote/dispatcher/state_purchase_view/17856153" TargetMode="External"/>
  <ns0:Relationship Id="rId1013" Type="http://schemas.openxmlformats.org/officeDocument/2006/relationships/hyperlink" Target="https://my.zakupki.prom.ua/remote/dispatcher/state_contracting_view/4818606" TargetMode="External"/>
  <ns0:Relationship Id="rId1014" Type="http://schemas.openxmlformats.org/officeDocument/2006/relationships/hyperlink" Target="https://my.zakupki.prom.ua/remote/dispatcher/state_purchase_view/17912151" TargetMode="External"/>
  <ns0:Relationship Id="rId1015" Type="http://schemas.openxmlformats.org/officeDocument/2006/relationships/hyperlink" Target="https://my.zakupki.prom.ua/remote/dispatcher/state_contracting_view/4844407" TargetMode="External"/>
  <ns0:Relationship Id="rId1016" Type="http://schemas.openxmlformats.org/officeDocument/2006/relationships/hyperlink" Target="https://my.zakupki.prom.ua/remote/dispatcher/state_purchase_view/17978774" TargetMode="External"/>
  <ns0:Relationship Id="rId1017" Type="http://schemas.openxmlformats.org/officeDocument/2006/relationships/hyperlink" Target="https://my.zakupki.prom.ua/remote/dispatcher/state_contracting_view/4875660" TargetMode="External"/>
  <ns0:Relationship Id="rId1018" Type="http://schemas.openxmlformats.org/officeDocument/2006/relationships/hyperlink" Target="https://my.zakupki.prom.ua/remote/dispatcher/state_purchase_view/17800154" TargetMode="External"/>
  <ns0:Relationship Id="rId1019" Type="http://schemas.openxmlformats.org/officeDocument/2006/relationships/hyperlink" Target="https://my.zakupki.prom.ua/remote/dispatcher/state_contracting_view/4792755" TargetMode="External"/>
  <ns0:Relationship Id="rId1020" Type="http://schemas.openxmlformats.org/officeDocument/2006/relationships/hyperlink" Target="https://my.zakupki.prom.ua/remote/dispatcher/state_purchase_view/17831478" TargetMode="External"/>
  <ns0:Relationship Id="rId1021" Type="http://schemas.openxmlformats.org/officeDocument/2006/relationships/hyperlink" Target="https://my.zakupki.prom.ua/remote/dispatcher/state_contracting_view/4807134" TargetMode="External"/>
  <ns0:Relationship Id="rId1022" Type="http://schemas.openxmlformats.org/officeDocument/2006/relationships/hyperlink" Target="https://my.zakupki.prom.ua/remote/dispatcher/state_purchase_view/18097152" TargetMode="External"/>
  <ns0:Relationship Id="rId1023" Type="http://schemas.openxmlformats.org/officeDocument/2006/relationships/hyperlink" Target="https://my.zakupki.prom.ua/remote/dispatcher/state_contracting_view/4932090" TargetMode="External"/>
  <ns0:Relationship Id="rId1024" Type="http://schemas.openxmlformats.org/officeDocument/2006/relationships/hyperlink" Target="https://my.zakupki.prom.ua/remote/dispatcher/state_purchase_view/18121869" TargetMode="External"/>
  <ns0:Relationship Id="rId1025" Type="http://schemas.openxmlformats.org/officeDocument/2006/relationships/hyperlink" Target="https://my.zakupki.prom.ua/remote/dispatcher/state_contracting_view/4943030" TargetMode="External"/>
  <ns0:Relationship Id="rId1026" Type="http://schemas.openxmlformats.org/officeDocument/2006/relationships/hyperlink" Target="https://my.zakupki.prom.ua/remote/dispatcher/state_purchase_view/19242982" TargetMode="External"/>
  <ns0:Relationship Id="rId1027" Type="http://schemas.openxmlformats.org/officeDocument/2006/relationships/hyperlink" Target="https://my.zakupki.prom.ua/remote/dispatcher/state_contracting_view/5471479" TargetMode="External"/>
  <ns0:Relationship Id="rId1028" Type="http://schemas.openxmlformats.org/officeDocument/2006/relationships/hyperlink" Target="https://my.zakupki.prom.ua/remote/dispatcher/state_purchase_view/18985552" TargetMode="External"/>
  <ns0:Relationship Id="rId1029" Type="http://schemas.openxmlformats.org/officeDocument/2006/relationships/hyperlink" Target="https://my.zakupki.prom.ua/remote/dispatcher/state_contracting_view/5349130" TargetMode="External"/>
  <ns0:Relationship Id="rId1030" Type="http://schemas.openxmlformats.org/officeDocument/2006/relationships/hyperlink" Target="https://my.zakupki.prom.ua/remote/dispatcher/state_purchase_view/19566552" TargetMode="External"/>
  <ns0:Relationship Id="rId1031" Type="http://schemas.openxmlformats.org/officeDocument/2006/relationships/hyperlink" Target="https://my.zakupki.prom.ua/remote/dispatcher/state_contracting_view/5624124" TargetMode="External"/>
  <ns0:Relationship Id="rId1032" Type="http://schemas.openxmlformats.org/officeDocument/2006/relationships/hyperlink" Target="https://my.zakupki.prom.ua/remote/dispatcher/state_purchase_view/19481769" TargetMode="External"/>
  <ns0:Relationship Id="rId1033" Type="http://schemas.openxmlformats.org/officeDocument/2006/relationships/hyperlink" Target="https://my.zakupki.prom.ua/remote/dispatcher/state_contracting_view/5584118" TargetMode="External"/>
  <ns0:Relationship Id="rId1034" Type="http://schemas.openxmlformats.org/officeDocument/2006/relationships/hyperlink" Target="https://my.zakupki.prom.ua/remote/dispatcher/state_purchase_view/19694963" TargetMode="External"/>
  <ns0:Relationship Id="rId1035" Type="http://schemas.openxmlformats.org/officeDocument/2006/relationships/hyperlink" Target="https://my.zakupki.prom.ua/remote/dispatcher/state_contracting_view/5685651" TargetMode="External"/>
  <ns0:Relationship Id="rId1036" Type="http://schemas.openxmlformats.org/officeDocument/2006/relationships/hyperlink" Target="https://my.zakupki.prom.ua/remote/dispatcher/state_purchase_view/19657531" TargetMode="External"/>
  <ns0:Relationship Id="rId1037" Type="http://schemas.openxmlformats.org/officeDocument/2006/relationships/hyperlink" Target="https://my.zakupki.prom.ua/remote/dispatcher/state_contracting_view/5667824" TargetMode="External"/>
  <ns0:Relationship Id="rId1038" Type="http://schemas.openxmlformats.org/officeDocument/2006/relationships/hyperlink" Target="https://my.zakupki.prom.ua/remote/dispatcher/state_purchase_view/19939747" TargetMode="External"/>
  <ns0:Relationship Id="rId1039" Type="http://schemas.openxmlformats.org/officeDocument/2006/relationships/hyperlink" Target="https://my.zakupki.prom.ua/remote/dispatcher/state_contracting_view/5800846" TargetMode="External"/>
  <ns0:Relationship Id="rId1040" Type="http://schemas.openxmlformats.org/officeDocument/2006/relationships/hyperlink" Target="https://my.zakupki.prom.ua/remote/dispatcher/state_purchase_view/19118070" TargetMode="External"/>
  <ns0:Relationship Id="rId1041" Type="http://schemas.openxmlformats.org/officeDocument/2006/relationships/hyperlink" Target="https://my.zakupki.prom.ua/remote/dispatcher/state_contracting_view/5412165" TargetMode="External"/>
  <ns0:Relationship Id="rId1042" Type="http://schemas.openxmlformats.org/officeDocument/2006/relationships/hyperlink" Target="https://my.zakupki.prom.ua/remote/dispatcher/state_purchase_view/19348640" TargetMode="External"/>
  <ns0:Relationship Id="rId1043" Type="http://schemas.openxmlformats.org/officeDocument/2006/relationships/hyperlink" Target="https://my.zakupki.prom.ua/remote/dispatcher/state_contracting_view/5521728" TargetMode="External"/>
  <ns0:Relationship Id="rId1044" Type="http://schemas.openxmlformats.org/officeDocument/2006/relationships/hyperlink" Target="https://my.zakupki.prom.ua/remote/dispatcher/state_purchase_view/19435253" TargetMode="External"/>
  <ns0:Relationship Id="rId1045" Type="http://schemas.openxmlformats.org/officeDocument/2006/relationships/hyperlink" Target="https://my.zakupki.prom.ua/remote/dispatcher/state_contracting_view/5562351" TargetMode="External"/>
  <ns0:Relationship Id="rId1046" Type="http://schemas.openxmlformats.org/officeDocument/2006/relationships/hyperlink" Target="https://my.zakupki.prom.ua/remote/dispatcher/state_purchase_view/20026852" TargetMode="External"/>
  <ns0:Relationship Id="rId1047" Type="http://schemas.openxmlformats.org/officeDocument/2006/relationships/hyperlink" Target="https://my.zakupki.prom.ua/remote/dispatcher/state_contracting_view/5839908" TargetMode="External"/>
  <ns0:Relationship Id="rId1048" Type="http://schemas.openxmlformats.org/officeDocument/2006/relationships/hyperlink" Target="https://my.zakupki.prom.ua/remote/dispatcher/state_purchase_view/20014011" TargetMode="External"/>
  <ns0:Relationship Id="rId1049" Type="http://schemas.openxmlformats.org/officeDocument/2006/relationships/hyperlink" Target="https://my.zakupki.prom.ua/remote/dispatcher/state_contracting_view/5834153" TargetMode="External"/>
  <ns0:Relationship Id="rId1050" Type="http://schemas.openxmlformats.org/officeDocument/2006/relationships/hyperlink" Target="https://my.zakupki.prom.ua/remote/dispatcher/state_purchase_view/20211929" TargetMode="External"/>
  <ns0:Relationship Id="rId1051" Type="http://schemas.openxmlformats.org/officeDocument/2006/relationships/hyperlink" Target="https://my.zakupki.prom.ua/remote/dispatcher/state_contracting_view/5928850" TargetMode="External"/>
  <ns0:Relationship Id="rId1052" Type="http://schemas.openxmlformats.org/officeDocument/2006/relationships/hyperlink" Target="https://my.zakupki.prom.ua/remote/dispatcher/state_purchase_view/20114844" TargetMode="External"/>
  <ns0:Relationship Id="rId1053" Type="http://schemas.openxmlformats.org/officeDocument/2006/relationships/hyperlink" Target="https://my.zakupki.prom.ua/remote/dispatcher/state_contracting_view/5882834" TargetMode="External"/>
  <ns0:Relationship Id="rId1054" Type="http://schemas.openxmlformats.org/officeDocument/2006/relationships/hyperlink" Target="https://my.zakupki.prom.ua/remote/dispatcher/state_purchase_view/20204541" TargetMode="External"/>
  <ns0:Relationship Id="rId1055" Type="http://schemas.openxmlformats.org/officeDocument/2006/relationships/hyperlink" Target="https://my.zakupki.prom.ua/remote/dispatcher/state_contracting_view/5925029" TargetMode="External"/>
  <ns0:Relationship Id="rId1056" Type="http://schemas.openxmlformats.org/officeDocument/2006/relationships/hyperlink" Target="https://my.zakupki.prom.ua/remote/dispatcher/state_purchase_view/17616361" TargetMode="External"/>
  <ns0:Relationship Id="rId1057" Type="http://schemas.openxmlformats.org/officeDocument/2006/relationships/hyperlink" Target="https://my.zakupki.prom.ua/remote/dispatcher/state_contracting_view/4707062" TargetMode="External"/>
  <ns0:Relationship Id="rId1058" Type="http://schemas.openxmlformats.org/officeDocument/2006/relationships/hyperlink" Target="https://my.zakupki.prom.ua/remote/dispatcher/state_purchase_view/17653724" TargetMode="External"/>
  <ns0:Relationship Id="rId1059" Type="http://schemas.openxmlformats.org/officeDocument/2006/relationships/hyperlink" Target="https://my.zakupki.prom.ua/remote/dispatcher/state_contracting_view/4724650" TargetMode="External"/>
  <ns0:Relationship Id="rId1060" Type="http://schemas.openxmlformats.org/officeDocument/2006/relationships/hyperlink" Target="https://my.zakupki.prom.ua/remote/dispatcher/state_purchase_view/16726371" TargetMode="External"/>
  <ns0:Relationship Id="rId1061" Type="http://schemas.openxmlformats.org/officeDocument/2006/relationships/hyperlink" Target="https://my.zakupki.prom.ua/remote/dispatcher/state_contracting_view/4298827" TargetMode="External"/>
  <ns0:Relationship Id="rId1062" Type="http://schemas.openxmlformats.org/officeDocument/2006/relationships/hyperlink" Target="https://my.zakupki.prom.ua/remote/dispatcher/state_purchase_view/18138997" TargetMode="External"/>
  <ns0:Relationship Id="rId1063" Type="http://schemas.openxmlformats.org/officeDocument/2006/relationships/hyperlink" Target="https://my.zakupki.prom.ua/remote/dispatcher/state_contracting_view/4950710" TargetMode="External"/>
  <ns0:Relationship Id="rId1064" Type="http://schemas.openxmlformats.org/officeDocument/2006/relationships/hyperlink" Target="https://my.zakupki.prom.ua/remote/dispatcher/state_purchase_view/18654185" TargetMode="External"/>
  <ns0:Relationship Id="rId1065" Type="http://schemas.openxmlformats.org/officeDocument/2006/relationships/hyperlink" Target="https://my.zakupki.prom.ua/remote/dispatcher/state_contracting_view/5191241" TargetMode="External"/>
  <ns0:Relationship Id="rId1066" Type="http://schemas.openxmlformats.org/officeDocument/2006/relationships/hyperlink" Target="https://my.zakupki.prom.ua/remote/dispatcher/state_purchase_view/18645009" TargetMode="External"/>
  <ns0:Relationship Id="rId1067" Type="http://schemas.openxmlformats.org/officeDocument/2006/relationships/hyperlink" Target="https://my.zakupki.prom.ua/remote/dispatcher/state_contracting_view/5187124" TargetMode="External"/>
  <ns0:Relationship Id="rId1068" Type="http://schemas.openxmlformats.org/officeDocument/2006/relationships/hyperlink" Target="https://my.zakupki.prom.ua/remote/dispatcher/state_purchase_view/18070447" TargetMode="External"/>
  <ns0:Relationship Id="rId1069" Type="http://schemas.openxmlformats.org/officeDocument/2006/relationships/hyperlink" Target="https://my.zakupki.prom.ua/remote/dispatcher/state_contracting_view/4918736" TargetMode="External"/>
  <ns0:Relationship Id="rId1070" Type="http://schemas.openxmlformats.org/officeDocument/2006/relationships/hyperlink" Target="https://my.zakupki.prom.ua/remote/dispatcher/state_purchase_view/18791337" TargetMode="External"/>
  <ns0:Relationship Id="rId1071" Type="http://schemas.openxmlformats.org/officeDocument/2006/relationships/hyperlink" Target="https://my.zakupki.prom.ua/remote/dispatcher/state_contracting_view/5257507" TargetMode="External"/>
  <ns0:Relationship Id="rId1072" Type="http://schemas.openxmlformats.org/officeDocument/2006/relationships/hyperlink" Target="https://my.zakupki.prom.ua/remote/dispatcher/state_purchase_view/21695192" TargetMode="External"/>
  <ns0:Relationship Id="rId1073" Type="http://schemas.openxmlformats.org/officeDocument/2006/relationships/hyperlink" Target="https://my.zakupki.prom.ua/remote/dispatcher/state_contracting_view/6631916" TargetMode="External"/>
  <ns0:Relationship Id="rId1074" Type="http://schemas.openxmlformats.org/officeDocument/2006/relationships/hyperlink" Target="https://my.zakupki.prom.ua/remote/dispatcher/state_purchase_view/20896956" TargetMode="External"/>
  <ns0:Relationship Id="rId1075" Type="http://schemas.openxmlformats.org/officeDocument/2006/relationships/hyperlink" Target="https://my.zakupki.prom.ua/remote/dispatcher/state_contracting_view/6261002" TargetMode="External"/>
  <ns0:Relationship Id="rId1076" Type="http://schemas.openxmlformats.org/officeDocument/2006/relationships/hyperlink" Target="https://my.zakupki.prom.ua/remote/dispatcher/state_purchase_view/20885001" TargetMode="External"/>
  <ns0:Relationship Id="rId1077" Type="http://schemas.openxmlformats.org/officeDocument/2006/relationships/hyperlink" Target="https://my.zakupki.prom.ua/remote/dispatcher/state_contracting_view/6253280" TargetMode="External"/>
  <ns0:Relationship Id="rId1078" Type="http://schemas.openxmlformats.org/officeDocument/2006/relationships/hyperlink" Target="https://my.zakupki.prom.ua/remote/dispatcher/state_purchase_view/21853753" TargetMode="External"/>
  <ns0:Relationship Id="rId1079" Type="http://schemas.openxmlformats.org/officeDocument/2006/relationships/hyperlink" Target="https://my.zakupki.prom.ua/remote/dispatcher/state_contracting_view/6705032" TargetMode="External"/>
  <ns0:Relationship Id="rId1080" Type="http://schemas.openxmlformats.org/officeDocument/2006/relationships/hyperlink" Target="https://my.zakupki.prom.ua/remote/dispatcher/state_purchase_view/21989070" TargetMode="External"/>
  <ns0:Relationship Id="rId1081" Type="http://schemas.openxmlformats.org/officeDocument/2006/relationships/hyperlink" Target="https://my.zakupki.prom.ua/remote/dispatcher/state_contracting_view/6769637" TargetMode="External"/>
  <ns0:Relationship Id="rId1082" Type="http://schemas.openxmlformats.org/officeDocument/2006/relationships/hyperlink" Target="https://my.zakupki.prom.ua/remote/dispatcher/state_purchase_view/22098105" TargetMode="External"/>
  <ns0:Relationship Id="rId1083" Type="http://schemas.openxmlformats.org/officeDocument/2006/relationships/hyperlink" Target="https://my.zakupki.prom.ua/remote/dispatcher/state_contracting_view/6821944" TargetMode="External"/>
  <ns0:Relationship Id="rId1084" Type="http://schemas.openxmlformats.org/officeDocument/2006/relationships/hyperlink" Target="https://my.zakupki.prom.ua/remote/dispatcher/state_purchase_view/22098680" TargetMode="External"/>
  <ns0:Relationship Id="rId1085" Type="http://schemas.openxmlformats.org/officeDocument/2006/relationships/hyperlink" Target="https://my.zakupki.prom.ua/remote/dispatcher/state_contracting_view/6822133" TargetMode="External"/>
  <ns0:Relationship Id="rId1086" Type="http://schemas.openxmlformats.org/officeDocument/2006/relationships/hyperlink" Target="https://my.zakupki.prom.ua/remote/dispatcher/state_purchase_view/22096531" TargetMode="External"/>
  <ns0:Relationship Id="rId1087" Type="http://schemas.openxmlformats.org/officeDocument/2006/relationships/hyperlink" Target="https://my.zakupki.prom.ua/remote/dispatcher/state_contracting_view/6821223" TargetMode="External"/>
  <ns0:Relationship Id="rId1088" Type="http://schemas.openxmlformats.org/officeDocument/2006/relationships/hyperlink" Target="https://my.zakupki.prom.ua/remote/dispatcher/state_purchase_view/22732158" TargetMode="External"/>
  <ns0:Relationship Id="rId1089" Type="http://schemas.openxmlformats.org/officeDocument/2006/relationships/hyperlink" Target="https://my.zakupki.prom.ua/remote/dispatcher/state_contracting_view/7129887" TargetMode="External"/>
  <ns0:Relationship Id="rId1090" Type="http://schemas.openxmlformats.org/officeDocument/2006/relationships/hyperlink" Target="https://my.zakupki.prom.ua/remote/dispatcher/state_purchase_view/16726956" TargetMode="External"/>
  <ns0:Relationship Id="rId1091" Type="http://schemas.openxmlformats.org/officeDocument/2006/relationships/hyperlink" Target="https://my.zakupki.prom.ua/remote/dispatcher/state_contracting_view/4299168" TargetMode="External"/>
  <ns0:Relationship Id="rId1092" Type="http://schemas.openxmlformats.org/officeDocument/2006/relationships/hyperlink" Target="https://my.zakupki.prom.ua/remote/dispatcher/state_purchase_view/15397814" TargetMode="External"/>
  <ns0:Relationship Id="rId1093" Type="http://schemas.openxmlformats.org/officeDocument/2006/relationships/hyperlink" Target="https://my.zakupki.prom.ua/remote/dispatcher/state_contracting_view/3830390" TargetMode="External"/>
  <ns0:Relationship Id="rId1094" Type="http://schemas.openxmlformats.org/officeDocument/2006/relationships/hyperlink" Target="https://my.zakupki.prom.ua/remote/dispatcher/state_purchase_view/15190849" TargetMode="External"/>
  <ns0:Relationship Id="rId1095" Type="http://schemas.openxmlformats.org/officeDocument/2006/relationships/hyperlink" Target="https://my.zakupki.prom.ua/remote/dispatcher/state_contracting_view/3774810" TargetMode="External"/>
  <ns0:Relationship Id="rId1096" Type="http://schemas.openxmlformats.org/officeDocument/2006/relationships/hyperlink" Target="https://my.zakupki.prom.ua/remote/dispatcher/state_purchase_view/15679006" TargetMode="External"/>
  <ns0:Relationship Id="rId1097" Type="http://schemas.openxmlformats.org/officeDocument/2006/relationships/hyperlink" Target="https://my.zakupki.prom.ua/remote/dispatcher/state_contracting_view/3912622" TargetMode="External"/>
  <ns0:Relationship Id="rId1098" Type="http://schemas.openxmlformats.org/officeDocument/2006/relationships/hyperlink" Target="https://my.zakupki.prom.ua/remote/dispatcher/state_purchase_view/16357392" TargetMode="External"/>
  <ns0:Relationship Id="rId1099" Type="http://schemas.openxmlformats.org/officeDocument/2006/relationships/hyperlink" Target="https://my.zakupki.prom.ua/remote/dispatcher/state_contracting_view/4140607" TargetMode="External"/>
  <ns0:Relationship Id="rId1100" Type="http://schemas.openxmlformats.org/officeDocument/2006/relationships/hyperlink" Target="https://my.zakupki.prom.ua/remote/dispatcher/state_purchase_view/16206066" TargetMode="External"/>
  <ns0:Relationship Id="rId1101" Type="http://schemas.openxmlformats.org/officeDocument/2006/relationships/hyperlink" Target="https://my.zakupki.prom.ua/remote/dispatcher/state_contracting_view/4087081" TargetMode="External"/>
  <ns0:Relationship Id="rId1102" Type="http://schemas.openxmlformats.org/officeDocument/2006/relationships/hyperlink" Target="https://my.zakupki.prom.ua/remote/dispatcher/state_purchase_view/17489043" TargetMode="External"/>
  <ns0:Relationship Id="rId1103" Type="http://schemas.openxmlformats.org/officeDocument/2006/relationships/hyperlink" Target="https://my.zakupki.prom.ua/remote/dispatcher/state_contracting_view/4651127" TargetMode="External"/>
  <ns0:Relationship Id="rId1104" Type="http://schemas.openxmlformats.org/officeDocument/2006/relationships/hyperlink" Target="https://my.zakupki.prom.ua/remote/dispatcher/state_purchase_view/17801654" TargetMode="External"/>
  <ns0:Relationship Id="rId1105" Type="http://schemas.openxmlformats.org/officeDocument/2006/relationships/hyperlink" Target="https://my.zakupki.prom.ua/remote/dispatcher/state_contracting_view/4793178" TargetMode="External"/>
  <ns0:Relationship Id="rId1106" Type="http://schemas.openxmlformats.org/officeDocument/2006/relationships/hyperlink" Target="https://my.zakupki.prom.ua/remote/dispatcher/state_purchase_view/17638202" TargetMode="External"/>
  <ns0:Relationship Id="rId1107" Type="http://schemas.openxmlformats.org/officeDocument/2006/relationships/hyperlink" Target="https://my.zakupki.prom.ua/remote/dispatcher/state_contracting_view/4730047" TargetMode="External"/>
  <ns0:Relationship Id="rId1108" Type="http://schemas.openxmlformats.org/officeDocument/2006/relationships/hyperlink" Target="https://my.zakupki.prom.ua/remote/dispatcher/state_purchase_view/18280821" TargetMode="External"/>
  <ns0:Relationship Id="rId1109" Type="http://schemas.openxmlformats.org/officeDocument/2006/relationships/hyperlink" Target="https://my.zakupki.prom.ua/remote/dispatcher/state_contracting_view/5016536" TargetMode="External"/>
  <ns0:Relationship Id="rId1110" Type="http://schemas.openxmlformats.org/officeDocument/2006/relationships/hyperlink" Target="https://my.zakupki.prom.ua/remote/dispatcher/state_purchase_view/18129354" TargetMode="External"/>
  <ns0:Relationship Id="rId1111" Type="http://schemas.openxmlformats.org/officeDocument/2006/relationships/hyperlink" Target="https://my.zakupki.prom.ua/remote/dispatcher/state_contracting_view/5003309" TargetMode="External"/>
  <ns0:Relationship Id="rId1112" Type="http://schemas.openxmlformats.org/officeDocument/2006/relationships/hyperlink" Target="https://my.zakupki.prom.ua/remote/dispatcher/state_purchase_view/18186710" TargetMode="External"/>
  <ns0:Relationship Id="rId1113" Type="http://schemas.openxmlformats.org/officeDocument/2006/relationships/hyperlink" Target="https://my.zakupki.prom.ua/remote/dispatcher/state_contracting_view/4973535" TargetMode="External"/>
  <ns0:Relationship Id="rId1114" Type="http://schemas.openxmlformats.org/officeDocument/2006/relationships/hyperlink" Target="https://my.zakupki.prom.ua/remote/dispatcher/state_purchase_view/18233261" TargetMode="External"/>
  <ns0:Relationship Id="rId1115" Type="http://schemas.openxmlformats.org/officeDocument/2006/relationships/hyperlink" Target="https://my.zakupki.prom.ua/remote/dispatcher/state_contracting_view/4995167" TargetMode="External"/>
  <ns0:Relationship Id="rId1116" Type="http://schemas.openxmlformats.org/officeDocument/2006/relationships/hyperlink" Target="https://my.zakupki.prom.ua/remote/dispatcher/state_purchase_view/17035399" TargetMode="External"/>
  <ns0:Relationship Id="rId1117" Type="http://schemas.openxmlformats.org/officeDocument/2006/relationships/hyperlink" Target="https://my.zakupki.prom.ua/remote/dispatcher/state_contracting_view/4438956" TargetMode="External"/>
  <ns0:Relationship Id="rId1118" Type="http://schemas.openxmlformats.org/officeDocument/2006/relationships/hyperlink" Target="https://my.zakupki.prom.ua/remote/dispatcher/state_purchase_view/17983731" TargetMode="External"/>
  <ns0:Relationship Id="rId1119" Type="http://schemas.openxmlformats.org/officeDocument/2006/relationships/hyperlink" Target="https://my.zakupki.prom.ua/remote/dispatcher/state_contracting_view/4878098" TargetMode="External"/>
  <ns0:Relationship Id="rId1120" Type="http://schemas.openxmlformats.org/officeDocument/2006/relationships/hyperlink" Target="https://my.zakupki.prom.ua/remote/dispatcher/state_purchase_view/18150024" TargetMode="External"/>
  <ns0:Relationship Id="rId1121" Type="http://schemas.openxmlformats.org/officeDocument/2006/relationships/hyperlink" Target="https://my.zakupki.prom.ua/remote/dispatcher/state_contracting_view/4956336" TargetMode="External"/>
  <ns0:Relationship Id="rId1122" Type="http://schemas.openxmlformats.org/officeDocument/2006/relationships/hyperlink" Target="https://my.zakupki.prom.ua/remote/dispatcher/state_purchase_view/17960866" TargetMode="External"/>
  <ns0:Relationship Id="rId1123" Type="http://schemas.openxmlformats.org/officeDocument/2006/relationships/hyperlink" Target="https://my.zakupki.prom.ua/remote/dispatcher/state_contracting_view/4867027" TargetMode="External"/>
  <ns0:Relationship Id="rId1124" Type="http://schemas.openxmlformats.org/officeDocument/2006/relationships/hyperlink" Target="https://my.zakupki.prom.ua/remote/dispatcher/state_purchase_view/18340635" TargetMode="External"/>
  <ns0:Relationship Id="rId1125" Type="http://schemas.openxmlformats.org/officeDocument/2006/relationships/hyperlink" Target="https://my.zakupki.prom.ua/remote/dispatcher/state_contracting_view/5044155" TargetMode="External"/>
  <ns0:Relationship Id="rId1126" Type="http://schemas.openxmlformats.org/officeDocument/2006/relationships/hyperlink" Target="https://my.zakupki.prom.ua/remote/dispatcher/state_purchase_view/18317202" TargetMode="External"/>
  <ns0:Relationship Id="rId1127" Type="http://schemas.openxmlformats.org/officeDocument/2006/relationships/hyperlink" Target="https://my.zakupki.prom.ua/remote/dispatcher/state_contracting_view/5033014" TargetMode="External"/>
  <ns0:Relationship Id="rId1128" Type="http://schemas.openxmlformats.org/officeDocument/2006/relationships/hyperlink" Target="https://my.zakupki.prom.ua/remote/dispatcher/state_purchase_view/18514169" TargetMode="External"/>
  <ns0:Relationship Id="rId1129" Type="http://schemas.openxmlformats.org/officeDocument/2006/relationships/hyperlink" Target="https://my.zakupki.prom.ua/remote/dispatcher/state_contracting_view/5125377" TargetMode="External"/>
  <ns0:Relationship Id="rId1130" Type="http://schemas.openxmlformats.org/officeDocument/2006/relationships/hyperlink" Target="https://my.zakupki.prom.ua/remote/dispatcher/state_purchase_view/18523681" TargetMode="External"/>
  <ns0:Relationship Id="rId1131" Type="http://schemas.openxmlformats.org/officeDocument/2006/relationships/hyperlink" Target="https://my.zakupki.prom.ua/remote/dispatcher/state_contracting_view/5129794" TargetMode="External"/>
  <ns0:Relationship Id="rId1132" Type="http://schemas.openxmlformats.org/officeDocument/2006/relationships/hyperlink" Target="https://my.zakupki.prom.ua/remote/dispatcher/state_purchase_view/18555361" TargetMode="External"/>
  <ns0:Relationship Id="rId1133" Type="http://schemas.openxmlformats.org/officeDocument/2006/relationships/hyperlink" Target="https://my.zakupki.prom.ua/remote/dispatcher/state_contracting_view/5144969" TargetMode="External"/>
  <ns0:Relationship Id="rId1134" Type="http://schemas.openxmlformats.org/officeDocument/2006/relationships/hyperlink" Target="https://my.zakupki.prom.ua/remote/dispatcher/state_purchase_view/18597900" TargetMode="External"/>
  <ns0:Relationship Id="rId1135" Type="http://schemas.openxmlformats.org/officeDocument/2006/relationships/hyperlink" Target="https://my.zakupki.prom.ua/remote/dispatcher/state_contracting_view/5164527" TargetMode="External"/>
  <ns0:Relationship Id="rId1136" Type="http://schemas.openxmlformats.org/officeDocument/2006/relationships/hyperlink" Target="https://my.zakupki.prom.ua/remote/dispatcher/state_purchase_view/19732788" TargetMode="External"/>
  <ns0:Relationship Id="rId1137" Type="http://schemas.openxmlformats.org/officeDocument/2006/relationships/hyperlink" Target="https://my.zakupki.prom.ua/remote/dispatcher/state_contracting_view/5702769" TargetMode="External"/>
  <ns0:Relationship Id="rId1138" Type="http://schemas.openxmlformats.org/officeDocument/2006/relationships/hyperlink" Target="https://my.zakupki.prom.ua/remote/dispatcher/state_purchase_view/18995989" TargetMode="External"/>
  <ns0:Relationship Id="rId1139" Type="http://schemas.openxmlformats.org/officeDocument/2006/relationships/hyperlink" Target="https://my.zakupki.prom.ua/remote/dispatcher/state_contracting_view/5354497" TargetMode="External"/>
  <ns0:Relationship Id="rId1140" Type="http://schemas.openxmlformats.org/officeDocument/2006/relationships/hyperlink" Target="https://my.zakupki.prom.ua/remote/dispatcher/state_purchase_view/19089364" TargetMode="External"/>
  <ns0:Relationship Id="rId1141" Type="http://schemas.openxmlformats.org/officeDocument/2006/relationships/hyperlink" Target="https://my.zakupki.prom.ua/remote/dispatcher/state_contracting_view/5398509" TargetMode="External"/>
  <ns0:Relationship Id="rId1142" Type="http://schemas.openxmlformats.org/officeDocument/2006/relationships/hyperlink" Target="https://my.zakupki.prom.ua/remote/dispatcher/state_purchase_view/19429160" TargetMode="External"/>
  <ns0:Relationship Id="rId1143" Type="http://schemas.openxmlformats.org/officeDocument/2006/relationships/hyperlink" Target="https://my.zakupki.prom.ua/remote/dispatcher/state_contracting_view/5559651" TargetMode="External"/>
  <ns0:Relationship Id="rId1144" Type="http://schemas.openxmlformats.org/officeDocument/2006/relationships/hyperlink" Target="https://my.zakupki.prom.ua/remote/dispatcher/state_purchase_view/19129149" TargetMode="External"/>
  <ns0:Relationship Id="rId1145" Type="http://schemas.openxmlformats.org/officeDocument/2006/relationships/hyperlink" Target="https://my.zakupki.prom.ua/remote/dispatcher/state_contracting_view/5417001" TargetMode="External"/>
  <ns0:Relationship Id="rId1146" Type="http://schemas.openxmlformats.org/officeDocument/2006/relationships/hyperlink" Target="https://my.zakupki.prom.ua/remote/dispatcher/state_purchase_view/19018698" TargetMode="External"/>
  <ns0:Relationship Id="rId1147" Type="http://schemas.openxmlformats.org/officeDocument/2006/relationships/hyperlink" Target="https://my.zakupki.prom.ua/remote/dispatcher/state_contracting_view/5365055" TargetMode="External"/>
  <ns0:Relationship Id="rId1148" Type="http://schemas.openxmlformats.org/officeDocument/2006/relationships/hyperlink" Target="https://my.zakupki.prom.ua/remote/dispatcher/state_purchase_view/19361567" TargetMode="External"/>
  <ns0:Relationship Id="rId1149" Type="http://schemas.openxmlformats.org/officeDocument/2006/relationships/hyperlink" Target="https://my.zakupki.prom.ua/remote/dispatcher/state_contracting_view/5527583" TargetMode="External"/>
  <ns0:Relationship Id="rId1150" Type="http://schemas.openxmlformats.org/officeDocument/2006/relationships/hyperlink" Target="https://my.zakupki.prom.ua/remote/dispatcher/state_purchase_view/19932662" TargetMode="External"/>
  <ns0:Relationship Id="rId1151" Type="http://schemas.openxmlformats.org/officeDocument/2006/relationships/hyperlink" Target="https://my.zakupki.prom.ua/remote/dispatcher/state_contracting_view/5796112" TargetMode="External"/>
  <ns0:Relationship Id="rId1152" Type="http://schemas.openxmlformats.org/officeDocument/2006/relationships/hyperlink" Target="https://my.zakupki.prom.ua/remote/dispatcher/state_purchase_view/20037467" TargetMode="External"/>
  <ns0:Relationship Id="rId1153" Type="http://schemas.openxmlformats.org/officeDocument/2006/relationships/hyperlink" Target="https://my.zakupki.prom.ua/remote/dispatcher/state_contracting_view/5845188" TargetMode="External"/>
  <ns0:Relationship Id="rId1154" Type="http://schemas.openxmlformats.org/officeDocument/2006/relationships/hyperlink" Target="https://my.zakupki.prom.ua/remote/dispatcher/state_purchase_view/20112365" TargetMode="External"/>
  <ns0:Relationship Id="rId1155" Type="http://schemas.openxmlformats.org/officeDocument/2006/relationships/hyperlink" Target="https://my.zakupki.prom.ua/remote/dispatcher/state_contracting_view/5880856" TargetMode="External"/>
  <ns0:Relationship Id="rId1156" Type="http://schemas.openxmlformats.org/officeDocument/2006/relationships/hyperlink" Target="https://my.zakupki.prom.ua/remote/dispatcher/state_purchase_view/20207888" TargetMode="External"/>
  <ns0:Relationship Id="rId1157" Type="http://schemas.openxmlformats.org/officeDocument/2006/relationships/hyperlink" Target="https://my.zakupki.prom.ua/remote/dispatcher/state_contracting_view/5926519" TargetMode="External"/>
  <ns0:Relationship Id="rId1158" Type="http://schemas.openxmlformats.org/officeDocument/2006/relationships/hyperlink" Target="https://my.zakupki.prom.ua/remote/dispatcher/state_purchase_view/18789839" TargetMode="External"/>
  <ns0:Relationship Id="rId1159" Type="http://schemas.openxmlformats.org/officeDocument/2006/relationships/hyperlink" Target="https://my.zakupki.prom.ua/remote/dispatcher/state_contracting_view/5256865" TargetMode="External"/>
  <ns0:Relationship Id="rId1160" Type="http://schemas.openxmlformats.org/officeDocument/2006/relationships/hyperlink" Target="https://my.zakupki.prom.ua/remote/dispatcher/state_purchase_view/18474668" TargetMode="External"/>
  <ns0:Relationship Id="rId1161" Type="http://schemas.openxmlformats.org/officeDocument/2006/relationships/hyperlink" Target="https://my.zakupki.prom.ua/remote/dispatcher/state_contracting_view/5106776" TargetMode="External"/>
  <ns0:Relationship Id="rId1162" Type="http://schemas.openxmlformats.org/officeDocument/2006/relationships/hyperlink" Target="https://my.zakupki.prom.ua/remote/dispatcher/state_purchase_view/18283083" TargetMode="External"/>
  <ns0:Relationship Id="rId1163" Type="http://schemas.openxmlformats.org/officeDocument/2006/relationships/hyperlink" Target="https://my.zakupki.prom.ua/remote/dispatcher/state_contracting_view/5076683" TargetMode="External"/>
  <ns0:Relationship Id="rId1164" Type="http://schemas.openxmlformats.org/officeDocument/2006/relationships/hyperlink" Target="https://my.zakupki.prom.ua/remote/dispatcher/state_purchase_view/18576699" TargetMode="External"/>
  <ns0:Relationship Id="rId1165" Type="http://schemas.openxmlformats.org/officeDocument/2006/relationships/hyperlink" Target="https://my.zakupki.prom.ua/remote/dispatcher/state_contracting_view/5155251" TargetMode="External"/>
  <ns0:Relationship Id="rId1166" Type="http://schemas.openxmlformats.org/officeDocument/2006/relationships/hyperlink" Target="https://my.zakupki.prom.ua/remote/dispatcher/state_purchase_view/18202909" TargetMode="External"/>
  <ns0:Relationship Id="rId1167" Type="http://schemas.openxmlformats.org/officeDocument/2006/relationships/hyperlink" Target="https://my.zakupki.prom.ua/remote/dispatcher/state_contracting_view/4981351" TargetMode="External"/>
  <ns0:Relationship Id="rId1168" Type="http://schemas.openxmlformats.org/officeDocument/2006/relationships/hyperlink" Target="https://my.zakupki.prom.ua/remote/dispatcher/state_purchase_view/18258839" TargetMode="External"/>
  <ns0:Relationship Id="rId1169" Type="http://schemas.openxmlformats.org/officeDocument/2006/relationships/hyperlink" Target="https://my.zakupki.prom.ua/remote/dispatcher/state_contracting_view/5005970" TargetMode="External"/>
  <ns0:Relationship Id="rId1170" Type="http://schemas.openxmlformats.org/officeDocument/2006/relationships/hyperlink" Target="https://my.zakupki.prom.ua/remote/dispatcher/state_purchase_view/17420895" TargetMode="External"/>
  <ns0:Relationship Id="rId1171" Type="http://schemas.openxmlformats.org/officeDocument/2006/relationships/hyperlink" Target="https://my.zakupki.prom.ua/remote/dispatcher/state_contracting_view/4615932" TargetMode="External"/>
  <ns0:Relationship Id="rId1172" Type="http://schemas.openxmlformats.org/officeDocument/2006/relationships/hyperlink" Target="https://my.zakupki.prom.ua/remote/dispatcher/state_purchase_view/17711477" TargetMode="External"/>
  <ns0:Relationship Id="rId1173" Type="http://schemas.openxmlformats.org/officeDocument/2006/relationships/hyperlink" Target="https://my.zakupki.prom.ua/remote/dispatcher/state_contracting_view/4751198" TargetMode="External"/>
  <ns0:Relationship Id="rId1174" Type="http://schemas.openxmlformats.org/officeDocument/2006/relationships/hyperlink" Target="https://my.zakupki.prom.ua/remote/dispatcher/state_purchase_view/17593933" TargetMode="External"/>
  <ns0:Relationship Id="rId1175" Type="http://schemas.openxmlformats.org/officeDocument/2006/relationships/hyperlink" Target="https://my.zakupki.prom.ua/remote/dispatcher/state_contracting_view/4697046" TargetMode="External"/>
  <ns0:Relationship Id="rId1176" Type="http://schemas.openxmlformats.org/officeDocument/2006/relationships/hyperlink" Target="https://my.zakupki.prom.ua/remote/dispatcher/state_purchase_view/17849583" TargetMode="External"/>
  <ns0:Relationship Id="rId1177" Type="http://schemas.openxmlformats.org/officeDocument/2006/relationships/hyperlink" Target="https://my.zakupki.prom.ua/remote/dispatcher/state_contracting_view/4815554" TargetMode="External"/>
  <ns0:Relationship Id="rId1178" Type="http://schemas.openxmlformats.org/officeDocument/2006/relationships/hyperlink" Target="https://my.zakupki.prom.ua/remote/dispatcher/state_purchase_view/17764210" TargetMode="External"/>
  <ns0:Relationship Id="rId1179" Type="http://schemas.openxmlformats.org/officeDocument/2006/relationships/hyperlink" Target="https://my.zakupki.prom.ua/remote/dispatcher/state_contracting_view/4775929" TargetMode="External"/>
  <ns0:Relationship Id="rId1180" Type="http://schemas.openxmlformats.org/officeDocument/2006/relationships/hyperlink" Target="https://my.zakupki.prom.ua/remote/dispatcher/state_purchase_view/17775683" TargetMode="External"/>
  <ns0:Relationship Id="rId1181" Type="http://schemas.openxmlformats.org/officeDocument/2006/relationships/hyperlink" Target="https://my.zakupki.prom.ua/remote/dispatcher/state_contracting_view/4781294" TargetMode="External"/>
  <ns0:Relationship Id="rId1182" Type="http://schemas.openxmlformats.org/officeDocument/2006/relationships/hyperlink" Target="https://my.zakupki.prom.ua/remote/dispatcher/state_purchase_view/21097008" TargetMode="External"/>
  <ns0:Relationship Id="rId1183" Type="http://schemas.openxmlformats.org/officeDocument/2006/relationships/hyperlink" Target="https://my.zakupki.prom.ua/remote/dispatcher/state_contracting_view/6353032" TargetMode="External"/>
  <ns0:Relationship Id="rId1184" Type="http://schemas.openxmlformats.org/officeDocument/2006/relationships/hyperlink" Target="https://my.zakupki.prom.ua/remote/dispatcher/state_purchase_view/21116491" TargetMode="External"/>
  <ns0:Relationship Id="rId1185" Type="http://schemas.openxmlformats.org/officeDocument/2006/relationships/hyperlink" Target="https://my.zakupki.prom.ua/remote/dispatcher/state_contracting_view/6362210" TargetMode="External"/>
  <ns0:Relationship Id="rId1186" Type="http://schemas.openxmlformats.org/officeDocument/2006/relationships/hyperlink" Target="https://my.zakupki.prom.ua/remote/dispatcher/state_purchase_view/21699181" TargetMode="External"/>
  <ns0:Relationship Id="rId1187" Type="http://schemas.openxmlformats.org/officeDocument/2006/relationships/hyperlink" Target="https://my.zakupki.prom.ua/remote/dispatcher/state_contracting_view/6633415" TargetMode="External"/>
  <ns0:Relationship Id="rId1188" Type="http://schemas.openxmlformats.org/officeDocument/2006/relationships/hyperlink" Target="https://my.zakupki.prom.ua/remote/dispatcher/state_purchase_view/19899201" TargetMode="External"/>
  <ns0:Relationship Id="rId1189" Type="http://schemas.openxmlformats.org/officeDocument/2006/relationships/hyperlink" Target="https://my.zakupki.prom.ua/remote/dispatcher/state_contracting_view/5780452" TargetMode="External"/>
  <ns0:Relationship Id="rId1190" Type="http://schemas.openxmlformats.org/officeDocument/2006/relationships/hyperlink" Target="https://my.zakupki.prom.ua/remote/dispatcher/state_purchase_view/20016901" TargetMode="External"/>
  <ns0:Relationship Id="rId1191" Type="http://schemas.openxmlformats.org/officeDocument/2006/relationships/hyperlink" Target="https://my.zakupki.prom.ua/remote/dispatcher/state_contracting_view/5835374" TargetMode="External"/>
  <ns0:Relationship Id="rId1192" Type="http://schemas.openxmlformats.org/officeDocument/2006/relationships/hyperlink" Target="https://my.zakupki.prom.ua/remote/dispatcher/state_purchase_view/15195593" TargetMode="External"/>
  <ns0:Relationship Id="rId1193" Type="http://schemas.openxmlformats.org/officeDocument/2006/relationships/hyperlink" Target="https://my.zakupki.prom.ua/remote/dispatcher/state_contracting_view/3776038" TargetMode="External"/>
  <ns0:Relationship Id="rId1194" Type="http://schemas.openxmlformats.org/officeDocument/2006/relationships/hyperlink" Target="https://my.zakupki.prom.ua/remote/dispatcher/state_purchase_view/14886432" TargetMode="External"/>
  <ns0:Relationship Id="rId1195" Type="http://schemas.openxmlformats.org/officeDocument/2006/relationships/hyperlink" Target="https://my.zakupki.prom.ua/remote/dispatcher/state_contracting_view/3702385" TargetMode="External"/>
  <ns0:Relationship Id="rId1196" Type="http://schemas.openxmlformats.org/officeDocument/2006/relationships/hyperlink" Target="https://my.zakupki.prom.ua/remote/dispatcher/state_purchase_view/14856892" TargetMode="External"/>
  <ns0:Relationship Id="rId1197" Type="http://schemas.openxmlformats.org/officeDocument/2006/relationships/hyperlink" Target="https://my.zakupki.prom.ua/remote/dispatcher/state_contracting_view/3693830" TargetMode="External"/>
  <ns0:Relationship Id="rId1198" Type="http://schemas.openxmlformats.org/officeDocument/2006/relationships/hyperlink" Target="https://my.zakupki.prom.ua/remote/dispatcher/state_purchase_view/15103699" TargetMode="External"/>
  <ns0:Relationship Id="rId1199" Type="http://schemas.openxmlformats.org/officeDocument/2006/relationships/hyperlink" Target="https://my.zakupki.prom.ua/remote/dispatcher/state_contracting_view/3754077" TargetMode="External"/>
  <ns0:Relationship Id="rId1200" Type="http://schemas.openxmlformats.org/officeDocument/2006/relationships/hyperlink" Target="https://my.zakupki.prom.ua/remote/dispatcher/state_purchase_view/15707497" TargetMode="External"/>
  <ns0:Relationship Id="rId1201" Type="http://schemas.openxmlformats.org/officeDocument/2006/relationships/hyperlink" Target="https://my.zakupki.prom.ua/remote/dispatcher/state_contracting_view/3921137" TargetMode="External"/>
  <ns0:Relationship Id="rId1202" Type="http://schemas.openxmlformats.org/officeDocument/2006/relationships/hyperlink" Target="https://my.zakupki.prom.ua/remote/dispatcher/state_purchase_view/15679612" TargetMode="External"/>
  <ns0:Relationship Id="rId1203" Type="http://schemas.openxmlformats.org/officeDocument/2006/relationships/hyperlink" Target="https://my.zakupki.prom.ua/remote/dispatcher/state_contracting_view/3912851" TargetMode="External"/>
  <ns0:Relationship Id="rId1204" Type="http://schemas.openxmlformats.org/officeDocument/2006/relationships/hyperlink" Target="https://my.zakupki.prom.ua/remote/dispatcher/state_purchase_view/15695209" TargetMode="External"/>
  <ns0:Relationship Id="rId1205" Type="http://schemas.openxmlformats.org/officeDocument/2006/relationships/hyperlink" Target="https://my.zakupki.prom.ua/remote/dispatcher/state_contracting_view/3917650" TargetMode="External"/>
  <ns0:Relationship Id="rId1206" Type="http://schemas.openxmlformats.org/officeDocument/2006/relationships/hyperlink" Target="https://my.zakupki.prom.ua/remote/dispatcher/state_purchase_view/15729712" TargetMode="External"/>
  <ns0:Relationship Id="rId1207" Type="http://schemas.openxmlformats.org/officeDocument/2006/relationships/hyperlink" Target="https://my.zakupki.prom.ua/remote/dispatcher/state_contracting_view/3924093" TargetMode="External"/>
  <ns0:Relationship Id="rId1208" Type="http://schemas.openxmlformats.org/officeDocument/2006/relationships/hyperlink" Target="https://my.zakupki.prom.ua/remote/dispatcher/state_purchase_view/16275392" TargetMode="External"/>
  <ns0:Relationship Id="rId1209" Type="http://schemas.openxmlformats.org/officeDocument/2006/relationships/hyperlink" Target="https://my.zakupki.prom.ua/remote/dispatcher/state_contracting_view/4111055" TargetMode="External"/>
  <ns0:Relationship Id="rId1210" Type="http://schemas.openxmlformats.org/officeDocument/2006/relationships/hyperlink" Target="https://my.zakupki.prom.ua/remote/dispatcher/state_purchase_view/15893756" TargetMode="External"/>
  <ns0:Relationship Id="rId1211" Type="http://schemas.openxmlformats.org/officeDocument/2006/relationships/hyperlink" Target="https://my.zakupki.prom.ua/remote/dispatcher/state_contracting_view/3979146" TargetMode="External"/>
  <ns0:Relationship Id="rId1212" Type="http://schemas.openxmlformats.org/officeDocument/2006/relationships/hyperlink" Target="https://my.zakupki.prom.ua/remote/dispatcher/state_purchase_view/19508328" TargetMode="External"/>
  <ns0:Relationship Id="rId1213" Type="http://schemas.openxmlformats.org/officeDocument/2006/relationships/hyperlink" Target="https://my.zakupki.prom.ua/remote/dispatcher/state_contracting_view/5596531" TargetMode="External"/>
  <ns0:Relationship Id="rId1214" Type="http://schemas.openxmlformats.org/officeDocument/2006/relationships/hyperlink" Target="https://my.zakupki.prom.ua/remote/dispatcher/state_purchase_view/19870824" TargetMode="External"/>
  <ns0:Relationship Id="rId1215" Type="http://schemas.openxmlformats.org/officeDocument/2006/relationships/hyperlink" Target="https://my.zakupki.prom.ua/remote/dispatcher/state_contracting_view/5767891" TargetMode="External"/>
  <ns0:Relationship Id="rId1216" Type="http://schemas.openxmlformats.org/officeDocument/2006/relationships/hyperlink" Target="https://my.zakupki.prom.ua/remote/dispatcher/state_purchase_view/19917200" TargetMode="External"/>
  <ns0:Relationship Id="rId1217" Type="http://schemas.openxmlformats.org/officeDocument/2006/relationships/hyperlink" Target="https://my.zakupki.prom.ua/remote/dispatcher/state_contracting_view/5788566" TargetMode="External"/>
  <ns0:Relationship Id="rId1218" Type="http://schemas.openxmlformats.org/officeDocument/2006/relationships/hyperlink" Target="https://my.zakupki.prom.ua/remote/dispatcher/state_purchase_view/20024285" TargetMode="External"/>
  <ns0:Relationship Id="rId1219" Type="http://schemas.openxmlformats.org/officeDocument/2006/relationships/hyperlink" Target="https://my.zakupki.prom.ua/remote/dispatcher/state_contracting_view/5838723" TargetMode="External"/>
  <ns0:Relationship Id="rId1220" Type="http://schemas.openxmlformats.org/officeDocument/2006/relationships/hyperlink" Target="https://my.zakupki.prom.ua/remote/dispatcher/state_purchase_view/19202468" TargetMode="External"/>
  <ns0:Relationship Id="rId1221" Type="http://schemas.openxmlformats.org/officeDocument/2006/relationships/hyperlink" Target="https://my.zakupki.prom.ua/remote/dispatcher/state_contracting_view/5451677" TargetMode="External"/>
  <ns0:Relationship Id="rId1222" Type="http://schemas.openxmlformats.org/officeDocument/2006/relationships/hyperlink" Target="https://my.zakupki.prom.ua/remote/dispatcher/state_purchase_view/19213051" TargetMode="External"/>
  <ns0:Relationship Id="rId1223" Type="http://schemas.openxmlformats.org/officeDocument/2006/relationships/hyperlink" Target="https://my.zakupki.prom.ua/remote/dispatcher/state_contracting_view/5456530" TargetMode="External"/>
  <ns0:Relationship Id="rId1224" Type="http://schemas.openxmlformats.org/officeDocument/2006/relationships/hyperlink" Target="https://my.zakupki.prom.ua/remote/dispatcher/state_purchase_view/19346782" TargetMode="External"/>
  <ns0:Relationship Id="rId1225" Type="http://schemas.openxmlformats.org/officeDocument/2006/relationships/hyperlink" Target="https://my.zakupki.prom.ua/remote/dispatcher/state_contracting_view/5520670" TargetMode="External"/>
  <ns0:Relationship Id="rId1226" Type="http://schemas.openxmlformats.org/officeDocument/2006/relationships/hyperlink" Target="https://my.zakupki.prom.ua/remote/dispatcher/state_purchase_view/19101702" TargetMode="External"/>
  <ns0:Relationship Id="rId1227" Type="http://schemas.openxmlformats.org/officeDocument/2006/relationships/hyperlink" Target="https://my.zakupki.prom.ua/remote/dispatcher/state_contracting_view/5404161" TargetMode="External"/>
  <ns0:Relationship Id="rId1228" Type="http://schemas.openxmlformats.org/officeDocument/2006/relationships/hyperlink" Target="https://my.zakupki.prom.ua/remote/dispatcher/state_purchase_view/18997336" TargetMode="External"/>
  <ns0:Relationship Id="rId1229" Type="http://schemas.openxmlformats.org/officeDocument/2006/relationships/hyperlink" Target="https://my.zakupki.prom.ua/remote/dispatcher/state_contracting_view/5354911" TargetMode="External"/>
  <ns0:Relationship Id="rId1230" Type="http://schemas.openxmlformats.org/officeDocument/2006/relationships/hyperlink" Target="https://my.zakupki.prom.ua/remote/dispatcher/state_purchase_view/19324336" TargetMode="External"/>
  <ns0:Relationship Id="rId1231" Type="http://schemas.openxmlformats.org/officeDocument/2006/relationships/hyperlink" Target="https://my.zakupki.prom.ua/remote/dispatcher/state_contracting_view/5509800" TargetMode="External"/>
  <ns0:Relationship Id="rId1232" Type="http://schemas.openxmlformats.org/officeDocument/2006/relationships/hyperlink" Target="https://my.zakupki.prom.ua/remote/dispatcher/state_purchase_view/16299463" TargetMode="External"/>
  <ns0:Relationship Id="rId1233" Type="http://schemas.openxmlformats.org/officeDocument/2006/relationships/hyperlink" Target="https://my.zakupki.prom.ua/remote/dispatcher/state_contracting_view/4178257" TargetMode="External"/>
  <ns0:Relationship Id="rId1234" Type="http://schemas.openxmlformats.org/officeDocument/2006/relationships/hyperlink" Target="https://my.zakupki.prom.ua/remote/dispatcher/state_purchase_view/17222889" TargetMode="External"/>
  <ns0:Relationship Id="rId1235" Type="http://schemas.openxmlformats.org/officeDocument/2006/relationships/hyperlink" Target="https://my.zakupki.prom.ua/remote/dispatcher/state_contracting_view/4525175" TargetMode="External"/>
  <ns0:Relationship Id="rId1236" Type="http://schemas.openxmlformats.org/officeDocument/2006/relationships/hyperlink" Target="https://my.zakupki.prom.ua/remote/dispatcher/state_purchase_view/16747116" TargetMode="External"/>
  <ns0:Relationship Id="rId1237" Type="http://schemas.openxmlformats.org/officeDocument/2006/relationships/hyperlink" Target="https://my.zakupki.prom.ua/remote/dispatcher/state_contracting_view/4483584" TargetMode="External"/>
  <ns0:Relationship Id="rId1238" Type="http://schemas.openxmlformats.org/officeDocument/2006/relationships/hyperlink" Target="https://my.zakupki.prom.ua/remote/dispatcher/state_purchase_view/17011459" TargetMode="External"/>
  <ns0:Relationship Id="rId1239" Type="http://schemas.openxmlformats.org/officeDocument/2006/relationships/hyperlink" Target="https://my.zakupki.prom.ua/remote/dispatcher/state_contracting_view/4427545" TargetMode="External"/>
  <ns0:Relationship Id="rId1240" Type="http://schemas.openxmlformats.org/officeDocument/2006/relationships/hyperlink" Target="https://my.zakupki.prom.ua/remote/dispatcher/state_purchase_view/17488577" TargetMode="External"/>
  <ns0:Relationship Id="rId1241" Type="http://schemas.openxmlformats.org/officeDocument/2006/relationships/hyperlink" Target="https://my.zakupki.prom.ua/remote/dispatcher/state_contracting_view/4647703" TargetMode="External"/>
  <ns0:Relationship Id="rId1242" Type="http://schemas.openxmlformats.org/officeDocument/2006/relationships/hyperlink" Target="https://my.zakupki.prom.ua/remote/dispatcher/state_purchase_view/17334103" TargetMode="External"/>
  <ns0:Relationship Id="rId1243" Type="http://schemas.openxmlformats.org/officeDocument/2006/relationships/hyperlink" Target="https://my.zakupki.prom.ua/remote/dispatcher/state_contracting_view/4576244" TargetMode="External"/>
  <ns0:Relationship Id="rId1244" Type="http://schemas.openxmlformats.org/officeDocument/2006/relationships/hyperlink" Target="https://my.zakupki.prom.ua/remote/dispatcher/state_purchase_view/17314311" TargetMode="External"/>
  <ns0:Relationship Id="rId1245" Type="http://schemas.openxmlformats.org/officeDocument/2006/relationships/hyperlink" Target="https://my.zakupki.prom.ua/remote/dispatcher/state_contracting_view/4566959" TargetMode="External"/>
  <ns0:Relationship Id="rId1246" Type="http://schemas.openxmlformats.org/officeDocument/2006/relationships/hyperlink" Target="https://my.zakupki.prom.ua/remote/dispatcher/state_purchase_view/18648582" TargetMode="External"/>
  <ns0:Relationship Id="rId1247" Type="http://schemas.openxmlformats.org/officeDocument/2006/relationships/hyperlink" Target="https://my.zakupki.prom.ua/remote/dispatcher/state_contracting_view/5188561" TargetMode="External"/>
  <ns0:Relationship Id="rId1248" Type="http://schemas.openxmlformats.org/officeDocument/2006/relationships/hyperlink" Target="https://my.zakupki.prom.ua/remote/dispatcher/state_purchase_view/17702039" TargetMode="External"/>
  <ns0:Relationship Id="rId1249" Type="http://schemas.openxmlformats.org/officeDocument/2006/relationships/hyperlink" Target="https://my.zakupki.prom.ua/remote/dispatcher/state_contracting_view/4746740" TargetMode="External"/>
  <ns0:Relationship Id="rId1250" Type="http://schemas.openxmlformats.org/officeDocument/2006/relationships/hyperlink" Target="https://my.zakupki.prom.ua/remote/dispatcher/state_purchase_view/17850990" TargetMode="External"/>
  <ns0:Relationship Id="rId1251" Type="http://schemas.openxmlformats.org/officeDocument/2006/relationships/hyperlink" Target="https://my.zakupki.prom.ua/remote/dispatcher/state_contracting_view/4816226" TargetMode="External"/>
  <ns0:Relationship Id="rId1252" Type="http://schemas.openxmlformats.org/officeDocument/2006/relationships/hyperlink" Target="https://my.zakupki.prom.ua/remote/dispatcher/state_purchase_view/18069749" TargetMode="External"/>
  <ns0:Relationship Id="rId1253" Type="http://schemas.openxmlformats.org/officeDocument/2006/relationships/hyperlink" Target="https://my.zakupki.prom.ua/remote/dispatcher/state_contracting_view/4918238" TargetMode="External"/>
  <ns0:Relationship Id="rId1254" Type="http://schemas.openxmlformats.org/officeDocument/2006/relationships/hyperlink" Target="https://my.zakupki.prom.ua/remote/dispatcher/state_purchase_view/18045326" TargetMode="External"/>
  <ns0:Relationship Id="rId1255" Type="http://schemas.openxmlformats.org/officeDocument/2006/relationships/hyperlink" Target="https://my.zakupki.prom.ua/remote/dispatcher/state_contracting_view/4906685" TargetMode="External"/>
  <ns0:Relationship Id="rId1256" Type="http://schemas.openxmlformats.org/officeDocument/2006/relationships/hyperlink" Target="https://my.zakupki.prom.ua/remote/dispatcher/state_purchase_view/18195389" TargetMode="External"/>
  <ns0:Relationship Id="rId1257" Type="http://schemas.openxmlformats.org/officeDocument/2006/relationships/hyperlink" Target="https://my.zakupki.prom.ua/remote/dispatcher/state_contracting_view/4977579" TargetMode="External"/>
  <ns0:Relationship Id="rId1258" Type="http://schemas.openxmlformats.org/officeDocument/2006/relationships/hyperlink" Target="https://my.zakupki.prom.ua/remote/dispatcher/state_purchase_view/17616358" TargetMode="External"/>
  <ns0:Relationship Id="rId1259" Type="http://schemas.openxmlformats.org/officeDocument/2006/relationships/hyperlink" Target="https://my.zakupki.prom.ua/remote/dispatcher/state_contracting_view/4707316" TargetMode="External"/>
  <ns0:Relationship Id="rId1260" Type="http://schemas.openxmlformats.org/officeDocument/2006/relationships/hyperlink" Target="https://my.zakupki.prom.ua/remote/dispatcher/state_purchase_view/17631772" TargetMode="External"/>
  <ns0:Relationship Id="rId1261" Type="http://schemas.openxmlformats.org/officeDocument/2006/relationships/hyperlink" Target="https://my.zakupki.prom.ua/remote/dispatcher/state_contracting_view/4714541" TargetMode="External"/>
  <ns0:Relationship Id="rId1262" Type="http://schemas.openxmlformats.org/officeDocument/2006/relationships/hyperlink" Target="https://my.zakupki.prom.ua/remote/dispatcher/state_purchase_view/17670241" TargetMode="External"/>
  <ns0:Relationship Id="rId1263" Type="http://schemas.openxmlformats.org/officeDocument/2006/relationships/hyperlink" Target="https://my.zakupki.prom.ua/remote/dispatcher/state_contracting_view/4732252" TargetMode="External"/>
  <ns0:Relationship Id="rId1264" Type="http://schemas.openxmlformats.org/officeDocument/2006/relationships/hyperlink" Target="https://my.zakupki.prom.ua/remote/dispatcher/state_purchase_view/18797538" TargetMode="External"/>
  <ns0:Relationship Id="rId1265" Type="http://schemas.openxmlformats.org/officeDocument/2006/relationships/hyperlink" Target="https://my.zakupki.prom.ua/remote/dispatcher/state_contracting_view/5260583" TargetMode="External"/>
  <ns0:Relationship Id="rId1266" Type="http://schemas.openxmlformats.org/officeDocument/2006/relationships/hyperlink" Target="https://my.zakupki.prom.ua/remote/dispatcher/state_purchase_view/18986518" TargetMode="External"/>
  <ns0:Relationship Id="rId1267" Type="http://schemas.openxmlformats.org/officeDocument/2006/relationships/hyperlink" Target="https://my.zakupki.prom.ua/remote/dispatcher/state_contracting_view/5349596" TargetMode="External"/>
  <ns0:Relationship Id="rId1268" Type="http://schemas.openxmlformats.org/officeDocument/2006/relationships/hyperlink" Target="https://my.zakupki.prom.ua/remote/dispatcher/state_purchase_view/18994814" TargetMode="External"/>
  <ns0:Relationship Id="rId1269" Type="http://schemas.openxmlformats.org/officeDocument/2006/relationships/hyperlink" Target="https://my.zakupki.prom.ua/remote/dispatcher/state_contracting_view/5353802" TargetMode="External"/>
  <ns0:Relationship Id="rId1270" Type="http://schemas.openxmlformats.org/officeDocument/2006/relationships/hyperlink" Target="https://my.zakupki.prom.ua/remote/dispatcher/state_purchase_view/18588656" TargetMode="External"/>
  <ns0:Relationship Id="rId1271" Type="http://schemas.openxmlformats.org/officeDocument/2006/relationships/hyperlink" Target="https://my.zakupki.prom.ua/remote/dispatcher/state_contracting_view/5235463" TargetMode="External"/>
  <ns0:Relationship Id="rId1272" Type="http://schemas.openxmlformats.org/officeDocument/2006/relationships/hyperlink" Target="https://my.zakupki.prom.ua/remote/dispatcher/state_purchase_view/18930090" TargetMode="External"/>
  <ns0:Relationship Id="rId1273" Type="http://schemas.openxmlformats.org/officeDocument/2006/relationships/hyperlink" Target="https://my.zakupki.prom.ua/remote/dispatcher/state_contracting_view/5323304" TargetMode="External"/>
  <ns0:Relationship Id="rId1274" Type="http://schemas.openxmlformats.org/officeDocument/2006/relationships/hyperlink" Target="https://my.zakupki.prom.ua/remote/dispatcher/state_purchase_view/17857058" TargetMode="External"/>
  <ns0:Relationship Id="rId1275" Type="http://schemas.openxmlformats.org/officeDocument/2006/relationships/hyperlink" Target="https://my.zakupki.prom.ua/remote/dispatcher/state_contracting_view/4819137" TargetMode="External"/>
  <ns0:Relationship Id="rId1276" Type="http://schemas.openxmlformats.org/officeDocument/2006/relationships/hyperlink" Target="https://my.zakupki.prom.ua/remote/dispatcher/state_purchase_view/17961091" TargetMode="External"/>
  <ns0:Relationship Id="rId1277" Type="http://schemas.openxmlformats.org/officeDocument/2006/relationships/hyperlink" Target="https://my.zakupki.prom.ua/remote/dispatcher/state_contracting_view/4867097" TargetMode="External"/>
  <ns0:Relationship Id="rId1278" Type="http://schemas.openxmlformats.org/officeDocument/2006/relationships/hyperlink" Target="https://my.zakupki.prom.ua/remote/dispatcher/state_purchase_view/16752414" TargetMode="External"/>
  <ns0:Relationship Id="rId1279" Type="http://schemas.openxmlformats.org/officeDocument/2006/relationships/hyperlink" Target="https://my.zakupki.prom.ua/remote/dispatcher/state_contracting_view/4310633" TargetMode="External"/>
  <ns0:Relationship Id="rId1280" Type="http://schemas.openxmlformats.org/officeDocument/2006/relationships/hyperlink" Target="https://my.zakupki.prom.ua/remote/dispatcher/state_purchase_view/16750448" TargetMode="External"/>
  <ns0:Relationship Id="rId1281" Type="http://schemas.openxmlformats.org/officeDocument/2006/relationships/hyperlink" Target="https://my.zakupki.prom.ua/remote/dispatcher/state_contracting_view/4309943" TargetMode="External"/>
  <ns0:Relationship Id="rId1282" Type="http://schemas.openxmlformats.org/officeDocument/2006/relationships/hyperlink" Target="https://my.zakupki.prom.ua/remote/dispatcher/state_purchase_view/17136653" TargetMode="External"/>
  <ns0:Relationship Id="rId1283" Type="http://schemas.openxmlformats.org/officeDocument/2006/relationships/hyperlink" Target="https://my.zakupki.prom.ua/remote/dispatcher/state_contracting_view/4487260" TargetMode="External"/>
  <ns0:Relationship Id="rId1284" Type="http://schemas.openxmlformats.org/officeDocument/2006/relationships/hyperlink" Target="https://my.zakupki.prom.ua/remote/dispatcher/state_purchase_view/20278223" TargetMode="External"/>
  <ns0:Relationship Id="rId1285" Type="http://schemas.openxmlformats.org/officeDocument/2006/relationships/hyperlink" Target="https://my.zakupki.prom.ua/remote/dispatcher/state_contracting_view/5959915" TargetMode="External"/>
  <ns0:Relationship Id="rId1286" Type="http://schemas.openxmlformats.org/officeDocument/2006/relationships/hyperlink" Target="https://my.zakupki.prom.ua/remote/dispatcher/state_purchase_view/20280645" TargetMode="External"/>
  <ns0:Relationship Id="rId1287" Type="http://schemas.openxmlformats.org/officeDocument/2006/relationships/hyperlink" Target="https://my.zakupki.prom.ua/remote/dispatcher/state_contracting_view/5961555" TargetMode="External"/>
  <ns0:Relationship Id="rId1288" Type="http://schemas.openxmlformats.org/officeDocument/2006/relationships/hyperlink" Target="https://my.zakupki.prom.ua/remote/dispatcher/state_purchase_view/20207317" TargetMode="External"/>
  <ns0:Relationship Id="rId1289" Type="http://schemas.openxmlformats.org/officeDocument/2006/relationships/hyperlink" Target="https://my.zakupki.prom.ua/remote/dispatcher/state_contracting_view/5926245" TargetMode="External"/>
  <ns0:Relationship Id="rId1290" Type="http://schemas.openxmlformats.org/officeDocument/2006/relationships/hyperlink" Target="https://my.zakupki.prom.ua/remote/dispatcher/state_purchase_view/19523426" TargetMode="External"/>
  <ns0:Relationship Id="rId1291" Type="http://schemas.openxmlformats.org/officeDocument/2006/relationships/hyperlink" Target="https://my.zakupki.prom.ua/remote/dispatcher/state_contracting_view/6051837" TargetMode="External"/>
  <ns0:Relationship Id="rId1292" Type="http://schemas.openxmlformats.org/officeDocument/2006/relationships/hyperlink" Target="https://my.zakupki.prom.ua/remote/dispatcher/state_purchase_view/21174017" TargetMode="External"/>
  <ns0:Relationship Id="rId1293" Type="http://schemas.openxmlformats.org/officeDocument/2006/relationships/hyperlink" Target="https://my.zakupki.prom.ua/remote/dispatcher/state_contracting_view/6388739" TargetMode="External"/>
  <ns0:Relationship Id="rId1294" Type="http://schemas.openxmlformats.org/officeDocument/2006/relationships/hyperlink" Target="https://my.zakupki.prom.ua/remote/dispatcher/state_purchase_view/21171057" TargetMode="External"/>
  <ns0:Relationship Id="rId1295" Type="http://schemas.openxmlformats.org/officeDocument/2006/relationships/hyperlink" Target="https://my.zakupki.prom.ua/remote/dispatcher/state_contracting_view/6387199" TargetMode="External"/>
  <ns0:Relationship Id="rId1296" Type="http://schemas.openxmlformats.org/officeDocument/2006/relationships/hyperlink" Target="https://my.zakupki.prom.ua/remote/dispatcher/state_purchase_view/21126788" TargetMode="External"/>
  <ns0:Relationship Id="rId1297" Type="http://schemas.openxmlformats.org/officeDocument/2006/relationships/hyperlink" Target="https://my.zakupki.prom.ua/remote/dispatcher/state_contracting_view/6366938" TargetMode="External"/>
  <ns0:Relationship Id="rId1298" Type="http://schemas.openxmlformats.org/officeDocument/2006/relationships/hyperlink" Target="https://my.zakupki.prom.ua/remote/dispatcher/state_purchase_view/21284016" TargetMode="External"/>
  <ns0:Relationship Id="rId1299" Type="http://schemas.openxmlformats.org/officeDocument/2006/relationships/hyperlink" Target="https://my.zakupki.prom.ua/remote/dispatcher/state_contracting_view/6439591" TargetMode="External"/>
  <ns0:Relationship Id="rId1300" Type="http://schemas.openxmlformats.org/officeDocument/2006/relationships/hyperlink" Target="https://my.zakupki.prom.ua/remote/dispatcher/state_purchase_view/21585353" TargetMode="External"/>
  <ns0:Relationship Id="rId1301" Type="http://schemas.openxmlformats.org/officeDocument/2006/relationships/hyperlink" Target="https://my.zakupki.prom.ua/remote/dispatcher/state_contracting_view/6580679" TargetMode="External"/>
  <ns0:Relationship Id="rId1302" Type="http://schemas.openxmlformats.org/officeDocument/2006/relationships/hyperlink" Target="https://my.zakupki.prom.ua/remote/dispatcher/state_purchase_view/21558925" TargetMode="External"/>
  <ns0:Relationship Id="rId1303" Type="http://schemas.openxmlformats.org/officeDocument/2006/relationships/hyperlink" Target="https://my.zakupki.prom.ua/remote/dispatcher/state_contracting_view/6570951" TargetMode="External"/>
  <ns0:Relationship Id="rId1304" Type="http://schemas.openxmlformats.org/officeDocument/2006/relationships/hyperlink" Target="https://my.zakupki.prom.ua/remote/dispatcher/state_purchase_view/20601105" TargetMode="External"/>
  <ns0:Relationship Id="rId1305" Type="http://schemas.openxmlformats.org/officeDocument/2006/relationships/hyperlink" Target="https://my.zakupki.prom.ua/remote/dispatcher/state_contracting_view/6119176" TargetMode="External"/>
  <ns0:Relationship Id="rId1306" Type="http://schemas.openxmlformats.org/officeDocument/2006/relationships/hyperlink" Target="https://my.zakupki.prom.ua/remote/dispatcher/state_purchase_view/22645307" TargetMode="External"/>
  <ns0:Relationship Id="rId1307" Type="http://schemas.openxmlformats.org/officeDocument/2006/relationships/hyperlink" Target="https://my.zakupki.prom.ua/remote/dispatcher/state_contracting_view/7088429" TargetMode="External"/>
  <ns0:Relationship Id="rId1308" Type="http://schemas.openxmlformats.org/officeDocument/2006/relationships/hyperlink" Target="https://my.zakupki.prom.ua/remote/dispatcher/state_purchase_view/21697761" TargetMode="External"/>
  <ns0:Relationship Id="rId1309" Type="http://schemas.openxmlformats.org/officeDocument/2006/relationships/hyperlink" Target="https://my.zakupki.prom.ua/remote/dispatcher/state_contracting_view/6633353" TargetMode="External"/>
  <ns0:Relationship Id="rId1310" Type="http://schemas.openxmlformats.org/officeDocument/2006/relationships/hyperlink" Target="https://my.zakupki.prom.ua/remote/dispatcher/state_purchase_view/21982536" TargetMode="External"/>
  <ns0:Relationship Id="rId1311" Type="http://schemas.openxmlformats.org/officeDocument/2006/relationships/hyperlink" Target="https://my.zakupki.prom.ua/remote/dispatcher/state_contracting_view/6766635" TargetMode="External"/>
  <ns0:Relationship Id="rId1312" Type="http://schemas.openxmlformats.org/officeDocument/2006/relationships/hyperlink" Target="https://my.zakupki.prom.ua/remote/dispatcher/state_purchase_view/21852807" TargetMode="External"/>
  <ns0:Relationship Id="rId1313" Type="http://schemas.openxmlformats.org/officeDocument/2006/relationships/hyperlink" Target="https://my.zakupki.prom.ua/remote/dispatcher/state_contracting_view/6704612" TargetMode="External"/>
  <ns0:Relationship Id="rId1314" Type="http://schemas.openxmlformats.org/officeDocument/2006/relationships/hyperlink" Target="https://my.zakupki.prom.ua/remote/dispatcher/state_purchase_view/22063757" TargetMode="External"/>
  <ns0:Relationship Id="rId1315" Type="http://schemas.openxmlformats.org/officeDocument/2006/relationships/hyperlink" Target="https://my.zakupki.prom.ua/remote/dispatcher/state_contracting_view/6805665" TargetMode="External"/>
  <ns0:Relationship Id="rId1316" Type="http://schemas.openxmlformats.org/officeDocument/2006/relationships/hyperlink" Target="https://my.zakupki.prom.ua/remote/dispatcher/state_purchase_view/21141989" TargetMode="External"/>
  <ns0:Relationship Id="rId1317" Type="http://schemas.openxmlformats.org/officeDocument/2006/relationships/hyperlink" Target="https://my.zakupki.prom.ua/remote/dispatcher/state_contracting_view/6373756" TargetMode="External"/>
  <ns0:Relationship Id="rId1318" Type="http://schemas.openxmlformats.org/officeDocument/2006/relationships/hyperlink" Target="https://my.zakupki.prom.ua/remote/dispatcher/state_purchase_view/14473863" TargetMode="External"/>
  <ns0:Relationship Id="rId1319" Type="http://schemas.openxmlformats.org/officeDocument/2006/relationships/hyperlink" Target="https://my.zakupki.prom.ua/remote/dispatcher/state_contracting_view/3628245" TargetMode="External"/>
  <ns0:Relationship Id="rId1320" Type="http://schemas.openxmlformats.org/officeDocument/2006/relationships/hyperlink" Target="https://my.zakupki.prom.ua/remote/dispatcher/state_purchase_view/15674370" TargetMode="External"/>
  <ns0:Relationship Id="rId1321" Type="http://schemas.openxmlformats.org/officeDocument/2006/relationships/hyperlink" Target="https://my.zakupki.prom.ua/remote/dispatcher/state_contracting_view/3911124" TargetMode="External"/>
  <ns0:Relationship Id="rId1322" Type="http://schemas.openxmlformats.org/officeDocument/2006/relationships/hyperlink" Target="https://my.zakupki.prom.ua/remote/dispatcher/state_purchase_view/15720693" TargetMode="External"/>
  <ns0:Relationship Id="rId1323" Type="http://schemas.openxmlformats.org/officeDocument/2006/relationships/hyperlink" Target="https://my.zakupki.prom.ua/remote/dispatcher/state_contracting_view/3929568" TargetMode="External"/>
  <ns0:Relationship Id="rId1324" Type="http://schemas.openxmlformats.org/officeDocument/2006/relationships/hyperlink" Target="https://my.zakupki.prom.ua/remote/dispatcher/state_purchase_view/15695585" TargetMode="External"/>
  <ns0:Relationship Id="rId1325" Type="http://schemas.openxmlformats.org/officeDocument/2006/relationships/hyperlink" Target="https://my.zakupki.prom.ua/remote/dispatcher/state_contracting_view/3917752" TargetMode="External"/>
  <ns0:Relationship Id="rId1326" Type="http://schemas.openxmlformats.org/officeDocument/2006/relationships/hyperlink" Target="https://my.zakupki.prom.ua/remote/dispatcher/state_purchase_view/15893180" TargetMode="External"/>
  <ns0:Relationship Id="rId1327" Type="http://schemas.openxmlformats.org/officeDocument/2006/relationships/hyperlink" Target="https://my.zakupki.prom.ua/remote/dispatcher/state_contracting_view/3978867" TargetMode="External"/>
  <ns0:Relationship Id="rId1328" Type="http://schemas.openxmlformats.org/officeDocument/2006/relationships/hyperlink" Target="https://my.zakupki.prom.ua/remote/dispatcher/state_purchase_view/15226412" TargetMode="External"/>
  <ns0:Relationship Id="rId1329" Type="http://schemas.openxmlformats.org/officeDocument/2006/relationships/hyperlink" Target="https://my.zakupki.prom.ua/remote/dispatcher/state_contracting_view/3784108" TargetMode="External"/>
  <ns0:Relationship Id="rId1330" Type="http://schemas.openxmlformats.org/officeDocument/2006/relationships/hyperlink" Target="https://my.zakupki.prom.ua/remote/dispatcher/state_purchase_view/21590763" TargetMode="External"/>
  <ns0:Relationship Id="rId1331" Type="http://schemas.openxmlformats.org/officeDocument/2006/relationships/hyperlink" Target="https://my.zakupki.prom.ua/remote/dispatcher/state_contracting_view/6583296" TargetMode="External"/>
  <ns0:Relationship Id="rId1332" Type="http://schemas.openxmlformats.org/officeDocument/2006/relationships/hyperlink" Target="https://my.zakupki.prom.ua/remote/dispatcher/state_purchase_view/22466031" TargetMode="External"/>
  <ns0:Relationship Id="rId1333" Type="http://schemas.openxmlformats.org/officeDocument/2006/relationships/hyperlink" Target="https://my.zakupki.prom.ua/remote/dispatcher/state_contracting_view/6999339" TargetMode="External"/>
  <ns0:Relationship Id="rId1334" Type="http://schemas.openxmlformats.org/officeDocument/2006/relationships/hyperlink" Target="https://my.zakupki.prom.ua/remote/dispatcher/state_purchase_view/21726046" TargetMode="External"/>
  <ns0:Relationship Id="rId1335" Type="http://schemas.openxmlformats.org/officeDocument/2006/relationships/hyperlink" Target="https://my.zakupki.prom.ua/remote/dispatcher/state_contracting_view/6646068" TargetMode="External"/>
  <ns0:Relationship Id="rId1336" Type="http://schemas.openxmlformats.org/officeDocument/2006/relationships/hyperlink" Target="https://my.zakupki.prom.ua/remote/dispatcher/state_purchase_view/21700633" TargetMode="External"/>
  <ns0:Relationship Id="rId1337" Type="http://schemas.openxmlformats.org/officeDocument/2006/relationships/hyperlink" Target="https://my.zakupki.prom.ua/remote/dispatcher/state_contracting_view/6634615" TargetMode="External"/>
  <ns0:Relationship Id="rId1338" Type="http://schemas.openxmlformats.org/officeDocument/2006/relationships/hyperlink" Target="https://my.zakupki.prom.ua/remote/dispatcher/state_purchase_view/22651679" TargetMode="External"/>
  <ns0:Relationship Id="rId1339" Type="http://schemas.openxmlformats.org/officeDocument/2006/relationships/hyperlink" Target="https://my.zakupki.prom.ua/remote/dispatcher/state_contracting_view/7091863" TargetMode="External"/>
  <ns0:Relationship Id="rId1340" Type="http://schemas.openxmlformats.org/officeDocument/2006/relationships/hyperlink" Target="https://my.zakupki.prom.ua/remote/dispatcher/state_purchase_view/21740762" TargetMode="External"/>
  <ns0:Relationship Id="rId1341" Type="http://schemas.openxmlformats.org/officeDocument/2006/relationships/hyperlink" Target="https://my.zakupki.prom.ua/remote/dispatcher/state_contracting_view/6653202" TargetMode="External"/>
  <ns0:Relationship Id="rId1342" Type="http://schemas.openxmlformats.org/officeDocument/2006/relationships/hyperlink" Target="https://my.zakupki.prom.ua/remote/dispatcher/state_purchase_view/21312234" TargetMode="External"/>
  <ns0:Relationship Id="rId1343" Type="http://schemas.openxmlformats.org/officeDocument/2006/relationships/hyperlink" Target="https://my.zakupki.prom.ua/remote/dispatcher/state_contracting_view/6452492" TargetMode="External"/>
  <ns0:Relationship Id="rId1344" Type="http://schemas.openxmlformats.org/officeDocument/2006/relationships/hyperlink" Target="https://my.zakupki.prom.ua/remote/dispatcher/state_purchase_view/22770983" TargetMode="External"/>
  <ns0:Relationship Id="rId1345" Type="http://schemas.openxmlformats.org/officeDocument/2006/relationships/hyperlink" Target="https://my.zakupki.prom.ua/remote/dispatcher/state_contracting_view/7148997" TargetMode="External"/>
  <ns0:Relationship Id="rId1346" Type="http://schemas.openxmlformats.org/officeDocument/2006/relationships/hyperlink" Target="https://my.zakupki.prom.ua/remote/dispatcher/state_purchase_view/22099481" TargetMode="External"/>
  <ns0:Relationship Id="rId1347" Type="http://schemas.openxmlformats.org/officeDocument/2006/relationships/hyperlink" Target="https://my.zakupki.prom.ua/remote/dispatcher/state_contracting_view/6822465" TargetMode="External"/>
  <ns0:Relationship Id="rId1348" Type="http://schemas.openxmlformats.org/officeDocument/2006/relationships/hyperlink" Target="https://my.zakupki.prom.ua/remote/dispatcher/state_purchase_view/22107382" TargetMode="External"/>
  <ns0:Relationship Id="rId1349" Type="http://schemas.openxmlformats.org/officeDocument/2006/relationships/hyperlink" Target="https://my.zakupki.prom.ua/remote/dispatcher/state_contracting_view/6826409" TargetMode="External"/>
  <ns0:Relationship Id="rId1350" Type="http://schemas.openxmlformats.org/officeDocument/2006/relationships/hyperlink" Target="https://my.zakupki.prom.ua/remote/dispatcher/state_purchase_view/20881811" TargetMode="External"/>
  <ns0:Relationship Id="rId1351" Type="http://schemas.openxmlformats.org/officeDocument/2006/relationships/hyperlink" Target="https://my.zakupki.prom.ua/remote/dispatcher/state_contracting_view/6252089" TargetMode="External"/>
  <ns0:Relationship Id="rId1352" Type="http://schemas.openxmlformats.org/officeDocument/2006/relationships/hyperlink" Target="https://my.zakupki.prom.ua/remote/dispatcher/state_purchase_view/20743400" TargetMode="External"/>
  <ns0:Relationship Id="rId1353" Type="http://schemas.openxmlformats.org/officeDocument/2006/relationships/hyperlink" Target="https://my.zakupki.prom.ua/remote/dispatcher/state_contracting_view/6185578" TargetMode="External"/>
  <ns0:Relationship Id="rId1354" Type="http://schemas.openxmlformats.org/officeDocument/2006/relationships/hyperlink" Target="https://my.zakupki.prom.ua/remote/dispatcher/state_purchase_view/21149898" TargetMode="External"/>
  <ns0:Relationship Id="rId1355" Type="http://schemas.openxmlformats.org/officeDocument/2006/relationships/hyperlink" Target="https://my.zakupki.prom.ua/remote/dispatcher/state_contracting_view/6377520" TargetMode="External"/>
  <ns0:Relationship Id="rId1356" Type="http://schemas.openxmlformats.org/officeDocument/2006/relationships/hyperlink" Target="https://my.zakupki.prom.ua/remote/dispatcher/state_purchase_view/20109607" TargetMode="External"/>
  <ns0:Relationship Id="rId1357" Type="http://schemas.openxmlformats.org/officeDocument/2006/relationships/hyperlink" Target="https://my.zakupki.prom.ua/remote/dispatcher/state_contracting_view/5879849" TargetMode="External"/>
  <ns0:Relationship Id="rId1358" Type="http://schemas.openxmlformats.org/officeDocument/2006/relationships/hyperlink" Target="https://my.zakupki.prom.ua/remote/dispatcher/state_purchase_view/20111351" TargetMode="External"/>
  <ns0:Relationship Id="rId1359" Type="http://schemas.openxmlformats.org/officeDocument/2006/relationships/hyperlink" Target="https://my.zakupki.prom.ua/remote/dispatcher/state_contracting_view/5880485" TargetMode="External"/>
  <ns0:Relationship Id="rId1360" Type="http://schemas.openxmlformats.org/officeDocument/2006/relationships/hyperlink" Target="https://my.zakupki.prom.ua/remote/dispatcher/state_purchase_view/20577362" TargetMode="External"/>
  <ns0:Relationship Id="rId1361" Type="http://schemas.openxmlformats.org/officeDocument/2006/relationships/hyperlink" Target="https://my.zakupki.prom.ua/remote/dispatcher/state_contracting_view/6109410" TargetMode="External"/>
  <ns0:Relationship Id="rId1362" Type="http://schemas.openxmlformats.org/officeDocument/2006/relationships/hyperlink" Target="https://my.zakupki.prom.ua/remote/dispatcher/state_purchase_view/16490138" TargetMode="External"/>
  <ns0:Relationship Id="rId1363" Type="http://schemas.openxmlformats.org/officeDocument/2006/relationships/hyperlink" Target="https://my.zakupki.prom.ua/remote/dispatcher/state_contracting_view/4198149" TargetMode="External"/>
  <ns0:Relationship Id="rId1364" Type="http://schemas.openxmlformats.org/officeDocument/2006/relationships/hyperlink" Target="https://my.zakupki.prom.ua/remote/dispatcher/state_purchase_view/14752737" TargetMode="External"/>
  <ns0:Relationship Id="rId1365" Type="http://schemas.openxmlformats.org/officeDocument/2006/relationships/hyperlink" Target="https://my.zakupki.prom.ua/remote/dispatcher/state_contracting_view/3672983" TargetMode="External"/>
  <ns0:Relationship Id="rId1366" Type="http://schemas.openxmlformats.org/officeDocument/2006/relationships/hyperlink" Target="https://my.zakupki.prom.ua/remote/dispatcher/state_purchase_view/16752265" TargetMode="External"/>
  <ns0:Relationship Id="rId1367" Type="http://schemas.openxmlformats.org/officeDocument/2006/relationships/hyperlink" Target="https://my.zakupki.prom.ua/remote/dispatcher/state_contracting_view/4310589" TargetMode="External"/>
  <ns0:Relationship Id="rId1368" Type="http://schemas.openxmlformats.org/officeDocument/2006/relationships/hyperlink" Target="https://my.zakupki.prom.ua/remote/dispatcher/state_purchase_view/16324280" TargetMode="External"/>
  <ns0:Relationship Id="rId1369" Type="http://schemas.openxmlformats.org/officeDocument/2006/relationships/hyperlink" Target="https://my.zakupki.prom.ua/remote/dispatcher/state_contracting_view/4128432" TargetMode="External"/>
  <ns0:Relationship Id="rId1370" Type="http://schemas.openxmlformats.org/officeDocument/2006/relationships/hyperlink" Target="https://my.zakupki.prom.ua/remote/dispatcher/state_purchase_view/18421759" TargetMode="External"/>
  <ns0:Relationship Id="rId1371" Type="http://schemas.openxmlformats.org/officeDocument/2006/relationships/hyperlink" Target="https://my.zakupki.prom.ua/remote/dispatcher/state_contracting_view/5081954" TargetMode="External"/>
  <ns0:Relationship Id="rId1372" Type="http://schemas.openxmlformats.org/officeDocument/2006/relationships/hyperlink" Target="https://my.zakupki.prom.ua/remote/dispatcher/state_purchase_view/19427394" TargetMode="External"/>
  <ns0:Relationship Id="rId1373" Type="http://schemas.openxmlformats.org/officeDocument/2006/relationships/hyperlink" Target="https://my.zakupki.prom.ua/remote/dispatcher/state_contracting_view/5558971" TargetMode="External"/>
  <ns0:Relationship Id="rId1374" Type="http://schemas.openxmlformats.org/officeDocument/2006/relationships/hyperlink" Target="https://my.zakupki.prom.ua/remote/dispatcher/state_purchase_view/19349373" TargetMode="External"/>
  <ns0:Relationship Id="rId1375" Type="http://schemas.openxmlformats.org/officeDocument/2006/relationships/hyperlink" Target="https://my.zakupki.prom.ua/remote/dispatcher/state_contracting_view/5521810" TargetMode="External"/>
  <ns0:Relationship Id="rId1376" Type="http://schemas.openxmlformats.org/officeDocument/2006/relationships/hyperlink" Target="https://my.zakupki.prom.ua/remote/dispatcher/state_purchase_view/19206147" TargetMode="External"/>
  <ns0:Relationship Id="rId1377" Type="http://schemas.openxmlformats.org/officeDocument/2006/relationships/hyperlink" Target="https://my.zakupki.prom.ua/remote/dispatcher/state_contracting_view/5453375" TargetMode="External"/>
  <ns0:Relationship Id="rId1378" Type="http://schemas.openxmlformats.org/officeDocument/2006/relationships/hyperlink" Target="https://my.zakupki.prom.ua/remote/dispatcher/state_purchase_view/19238761" TargetMode="External"/>
  <ns0:Relationship Id="rId1379" Type="http://schemas.openxmlformats.org/officeDocument/2006/relationships/hyperlink" Target="https://my.zakupki.prom.ua/remote/dispatcher/state_contracting_view/5468971" TargetMode="External"/>
  <ns0:Relationship Id="rId1380" Type="http://schemas.openxmlformats.org/officeDocument/2006/relationships/hyperlink" Target="https://my.zakupki.prom.ua/remote/dispatcher/state_purchase_view/19024549" TargetMode="External"/>
  <ns0:Relationship Id="rId1381" Type="http://schemas.openxmlformats.org/officeDocument/2006/relationships/hyperlink" Target="https://my.zakupki.prom.ua/remote/dispatcher/state_contracting_view/5367771" TargetMode="External"/>
  <ns0:Relationship Id="rId1382" Type="http://schemas.openxmlformats.org/officeDocument/2006/relationships/hyperlink" Target="https://my.zakupki.prom.ua/remote/dispatcher/state_purchase_view/19320963" TargetMode="External"/>
  <ns0:Relationship Id="rId1383" Type="http://schemas.openxmlformats.org/officeDocument/2006/relationships/hyperlink" Target="https://my.zakupki.prom.ua/remote/dispatcher/state_contracting_view/5508250" TargetMode="External"/>
  <ns0:Relationship Id="rId1384" Type="http://schemas.openxmlformats.org/officeDocument/2006/relationships/hyperlink" Target="https://my.zakupki.prom.ua/remote/dispatcher/state_purchase_view/17533294" TargetMode="External"/>
  <ns0:Relationship Id="rId1385" Type="http://schemas.openxmlformats.org/officeDocument/2006/relationships/hyperlink" Target="https://my.zakupki.prom.ua/remote/dispatcher/state_contracting_view/4669712" TargetMode="External"/>
  <ns0:Relationship Id="rId1386" Type="http://schemas.openxmlformats.org/officeDocument/2006/relationships/hyperlink" Target="https://my.zakupki.prom.ua/remote/dispatcher/state_purchase_view/18261331" TargetMode="External"/>
  <ns0:Relationship Id="rId1387" Type="http://schemas.openxmlformats.org/officeDocument/2006/relationships/hyperlink" Target="https://my.zakupki.prom.ua/remote/dispatcher/state_contracting_view/5076705" TargetMode="External"/>
  <ns0:Relationship Id="rId1388" Type="http://schemas.openxmlformats.org/officeDocument/2006/relationships/hyperlink" Target="https://my.zakupki.prom.ua/remote/dispatcher/state_purchase_view/18412029" TargetMode="External"/>
  <ns0:Relationship Id="rId1389" Type="http://schemas.openxmlformats.org/officeDocument/2006/relationships/hyperlink" Target="https://my.zakupki.prom.ua/remote/dispatcher/state_contracting_view/5077278" TargetMode="External"/>
  <ns0:Relationship Id="rId1390" Type="http://schemas.openxmlformats.org/officeDocument/2006/relationships/hyperlink" Target="https://my.zakupki.prom.ua/remote/dispatcher/state_purchase_view/19011570" TargetMode="External"/>
  <ns0:Relationship Id="rId1391" Type="http://schemas.openxmlformats.org/officeDocument/2006/relationships/hyperlink" Target="https://my.zakupki.prom.ua/remote/dispatcher/state_contracting_view/5786833" TargetMode="External"/>
  <ns0:Relationship Id="rId1392" Type="http://schemas.openxmlformats.org/officeDocument/2006/relationships/hyperlink" Target="https://my.zakupki.prom.ua/remote/dispatcher/state_purchase_view/19928998" TargetMode="External"/>
  <ns0:Relationship Id="rId1393" Type="http://schemas.openxmlformats.org/officeDocument/2006/relationships/hyperlink" Target="https://my.zakupki.prom.ua/remote/dispatcher/state_contracting_view/5794054" TargetMode="External"/>
  <ns0:Relationship Id="rId1394" Type="http://schemas.openxmlformats.org/officeDocument/2006/relationships/hyperlink" Target="https://my.zakupki.prom.ua/remote/dispatcher/state_purchase_view/19900949" TargetMode="External"/>
  <ns0:Relationship Id="rId1395" Type="http://schemas.openxmlformats.org/officeDocument/2006/relationships/hyperlink" Target="https://my.zakupki.prom.ua/remote/dispatcher/state_contracting_view/5780937" TargetMode="External"/>
  <ns0:Relationship Id="rId1396" Type="http://schemas.openxmlformats.org/officeDocument/2006/relationships/hyperlink" Target="https://my.zakupki.prom.ua/remote/dispatcher/state_purchase_view/16388150" TargetMode="External"/>
  <ns0:Relationship Id="rId1397" Type="http://schemas.openxmlformats.org/officeDocument/2006/relationships/hyperlink" Target="https://my.zakupki.prom.ua/remote/dispatcher/state_contracting_view/4152068" TargetMode="External"/>
  <ns0:Relationship Id="rId1398" Type="http://schemas.openxmlformats.org/officeDocument/2006/relationships/hyperlink" Target="https://my.zakupki.prom.ua/remote/dispatcher/state_purchase_view/16394276" TargetMode="External"/>
  <ns0:Relationship Id="rId1399" Type="http://schemas.openxmlformats.org/officeDocument/2006/relationships/hyperlink" Target="https://my.zakupki.prom.ua/remote/dispatcher/state_contracting_view/4154675" TargetMode="External"/>
  <ns0:Relationship Id="rId1400" Type="http://schemas.openxmlformats.org/officeDocument/2006/relationships/hyperlink" Target="https://my.zakupki.prom.ua/remote/dispatcher/state_purchase_view/18651102" TargetMode="External"/>
  <ns0:Relationship Id="rId1401" Type="http://schemas.openxmlformats.org/officeDocument/2006/relationships/hyperlink" Target="https://my.zakupki.prom.ua/remote/dispatcher/state_contracting_view/5189474" TargetMode="External"/>
  <ns0:Relationship Id="rId1402" Type="http://schemas.openxmlformats.org/officeDocument/2006/relationships/hyperlink" Target="https://my.zakupki.prom.ua/remote/dispatcher/state_purchase_view/18463211" TargetMode="External"/>
  <ns0:Relationship Id="rId1403" Type="http://schemas.openxmlformats.org/officeDocument/2006/relationships/hyperlink" Target="https://my.zakupki.prom.ua/remote/dispatcher/state_contracting_view/5158054" TargetMode="External"/>
  <ns0:Relationship Id="rId1404" Type="http://schemas.openxmlformats.org/officeDocument/2006/relationships/hyperlink" Target="https://my.zakupki.prom.ua/remote/dispatcher/state_purchase_view/18510554" TargetMode="External"/>
  <ns0:Relationship Id="rId1405" Type="http://schemas.openxmlformats.org/officeDocument/2006/relationships/hyperlink" Target="https://my.zakupki.prom.ua/remote/dispatcher/state_contracting_view/5123628" TargetMode="External"/>
  <ns0:Relationship Id="rId1406" Type="http://schemas.openxmlformats.org/officeDocument/2006/relationships/hyperlink" Target="https://my.zakupki.prom.ua/remote/dispatcher/state_purchase_view/18476537" TargetMode="External"/>
  <ns0:Relationship Id="rId1407" Type="http://schemas.openxmlformats.org/officeDocument/2006/relationships/hyperlink" Target="https://my.zakupki.prom.ua/remote/dispatcher/state_contracting_view/5107694" TargetMode="External"/>
  <ns0:Relationship Id="rId1408" Type="http://schemas.openxmlformats.org/officeDocument/2006/relationships/hyperlink" Target="https://my.zakupki.prom.ua/remote/dispatcher/state_purchase_view/18477140" TargetMode="External"/>
  <ns0:Relationship Id="rId1409" Type="http://schemas.openxmlformats.org/officeDocument/2006/relationships/hyperlink" Target="https://my.zakupki.prom.ua/remote/dispatcher/state_contracting_view/5108329" TargetMode="External"/>
  <ns0:Relationship Id="rId1410" Type="http://schemas.openxmlformats.org/officeDocument/2006/relationships/hyperlink" Target="https://my.zakupki.prom.ua/remote/dispatcher/state_purchase_view/18477928" TargetMode="External"/>
  <ns0:Relationship Id="rId1411" Type="http://schemas.openxmlformats.org/officeDocument/2006/relationships/hyperlink" Target="https://my.zakupki.prom.ua/remote/dispatcher/state_contracting_view/5108133" TargetMode="External"/>
  <ns0:Relationship Id="rId1412" Type="http://schemas.openxmlformats.org/officeDocument/2006/relationships/hyperlink" Target="https://my.zakupki.prom.ua/remote/dispatcher/state_purchase_view/18790934" TargetMode="External"/>
  <ns0:Relationship Id="rId1413" Type="http://schemas.openxmlformats.org/officeDocument/2006/relationships/hyperlink" Target="https://my.zakupki.prom.ua/remote/dispatcher/state_contracting_view/5257473" TargetMode="External"/>
  <ns0:Relationship Id="rId1414" Type="http://schemas.openxmlformats.org/officeDocument/2006/relationships/hyperlink" Target="https://my.zakupki.prom.ua/remote/dispatcher/state_purchase_view/18777777" TargetMode="External"/>
  <ns0:Relationship Id="rId1415" Type="http://schemas.openxmlformats.org/officeDocument/2006/relationships/hyperlink" Target="https://my.zakupki.prom.ua/remote/dispatcher/state_contracting_view/5252952" TargetMode="External"/>
  <ns0:Relationship Id="rId1416" Type="http://schemas.openxmlformats.org/officeDocument/2006/relationships/hyperlink" Target="https://my.zakupki.prom.ua/remote/dispatcher/state_purchase_view/17672543" TargetMode="External"/>
  <ns0:Relationship Id="rId1417" Type="http://schemas.openxmlformats.org/officeDocument/2006/relationships/hyperlink" Target="https://my.zakupki.prom.ua/remote/dispatcher/state_contracting_view/4733449" TargetMode="External"/>
  <ns0:Relationship Id="rId1418" Type="http://schemas.openxmlformats.org/officeDocument/2006/relationships/hyperlink" Target="https://my.zakupki.prom.ua/remote/dispatcher/state_purchase_view/17628973" TargetMode="External"/>
  <ns0:Relationship Id="rId1419" Type="http://schemas.openxmlformats.org/officeDocument/2006/relationships/hyperlink" Target="https://my.zakupki.prom.ua/remote/dispatcher/state_contracting_view/4713787" TargetMode="External"/>
  <ns0:Relationship Id="rId1420" Type="http://schemas.openxmlformats.org/officeDocument/2006/relationships/hyperlink" Target="https://my.zakupki.prom.ua/remote/dispatcher/state_purchase_view/17651365" TargetMode="External"/>
  <ns0:Relationship Id="rId1421" Type="http://schemas.openxmlformats.org/officeDocument/2006/relationships/hyperlink" Target="https://my.zakupki.prom.ua/remote/dispatcher/state_contracting_view/4723517" TargetMode="External"/>
  <ns0:Relationship Id="rId1422" Type="http://schemas.openxmlformats.org/officeDocument/2006/relationships/hyperlink" Target="https://my.zakupki.prom.ua/remote/dispatcher/state_purchase_view/17696617" TargetMode="External"/>
  <ns0:Relationship Id="rId1423" Type="http://schemas.openxmlformats.org/officeDocument/2006/relationships/hyperlink" Target="https://my.zakupki.prom.ua/remote/dispatcher/state_contracting_view/4744366" TargetMode="External"/>
  <ns0:Relationship Id="rId1424" Type="http://schemas.openxmlformats.org/officeDocument/2006/relationships/hyperlink" Target="https://my.zakupki.prom.ua/remote/dispatcher/state_purchase_view/17720831" TargetMode="External"/>
  <ns0:Relationship Id="rId1425" Type="http://schemas.openxmlformats.org/officeDocument/2006/relationships/hyperlink" Target="https://my.zakupki.prom.ua/remote/dispatcher/state_contracting_view/4755828" TargetMode="External"/>
  <ns0:Relationship Id="rId1426" Type="http://schemas.openxmlformats.org/officeDocument/2006/relationships/hyperlink" Target="https://my.zakupki.prom.ua/remote/dispatcher/state_purchase_view/17593956" TargetMode="External"/>
  <ns0:Relationship Id="rId1427" Type="http://schemas.openxmlformats.org/officeDocument/2006/relationships/hyperlink" Target="https://my.zakupki.prom.ua/remote/dispatcher/state_contracting_view/4697051" TargetMode="External"/>
  <ns0:Relationship Id="rId1428" Type="http://schemas.openxmlformats.org/officeDocument/2006/relationships/hyperlink" Target="https://my.zakupki.prom.ua/remote/dispatcher/state_purchase_view/17853397" TargetMode="External"/>
  <ns0:Relationship Id="rId1429" Type="http://schemas.openxmlformats.org/officeDocument/2006/relationships/hyperlink" Target="https://my.zakupki.prom.ua/remote/dispatcher/state_contracting_view/4817459" TargetMode="External"/>
  <ns0:Relationship Id="rId1430" Type="http://schemas.openxmlformats.org/officeDocument/2006/relationships/hyperlink" Target="https://my.zakupki.prom.ua/remote/dispatcher/state_purchase_view/19882812" TargetMode="External"/>
  <ns0:Relationship Id="rId1431" Type="http://schemas.openxmlformats.org/officeDocument/2006/relationships/hyperlink" Target="https://my.zakupki.prom.ua/remote/dispatcher/state_contracting_view/5855927" TargetMode="External"/>
  <ns0:Relationship Id="rId1432" Type="http://schemas.openxmlformats.org/officeDocument/2006/relationships/hyperlink" Target="https://my.zakupki.prom.ua/remote/dispatcher/state_purchase_view/20115639" TargetMode="External"/>
  <ns0:Relationship Id="rId1433" Type="http://schemas.openxmlformats.org/officeDocument/2006/relationships/hyperlink" Target="https://my.zakupki.prom.ua/remote/dispatcher/state_contracting_view/5882906" TargetMode="External"/>
  <ns0:Relationship Id="rId1434" Type="http://schemas.openxmlformats.org/officeDocument/2006/relationships/hyperlink" Target="https://my.zakupki.prom.ua/remote/dispatcher/state_purchase_view/20280102" TargetMode="External"/>
  <ns0:Relationship Id="rId1435" Type="http://schemas.openxmlformats.org/officeDocument/2006/relationships/hyperlink" Target="https://my.zakupki.prom.ua/remote/dispatcher/state_contracting_view/5961280" TargetMode="External"/>
  <ns0:Relationship Id="rId1436" Type="http://schemas.openxmlformats.org/officeDocument/2006/relationships/hyperlink" Target="https://my.zakupki.prom.ua/remote/dispatcher/state_purchase_view/20293644" TargetMode="External"/>
  <ns0:Relationship Id="rId1437" Type="http://schemas.openxmlformats.org/officeDocument/2006/relationships/hyperlink" Target="https://my.zakupki.prom.ua/remote/dispatcher/state_contracting_view/5968406" TargetMode="External"/>
  <ns0:Relationship Id="rId1438" Type="http://schemas.openxmlformats.org/officeDocument/2006/relationships/hyperlink" Target="https://my.zakupki.prom.ua/remote/dispatcher/state_purchase_view/21854358" TargetMode="External"/>
  <ns0:Relationship Id="rId1439" Type="http://schemas.openxmlformats.org/officeDocument/2006/relationships/hyperlink" Target="https://my.zakupki.prom.ua/remote/dispatcher/state_contracting_view/6705415" TargetMode="External"/>
  <ns0:Relationship Id="rId1440" Type="http://schemas.openxmlformats.org/officeDocument/2006/relationships/hyperlink" Target="https://my.zakupki.prom.ua/remote/dispatcher/state_purchase_view/21096044" TargetMode="External"/>
  <ns0:Relationship Id="rId1441" Type="http://schemas.openxmlformats.org/officeDocument/2006/relationships/hyperlink" Target="https://my.zakupki.prom.ua/remote/dispatcher/state_contracting_view/6352461" TargetMode="External"/>
  <ns0:Relationship Id="rId1442" Type="http://schemas.openxmlformats.org/officeDocument/2006/relationships/hyperlink" Target="https://my.zakupki.prom.ua/remote/dispatcher/state_purchase_view/15860420" TargetMode="External"/>
  <ns0:Relationship Id="rId1443" Type="http://schemas.openxmlformats.org/officeDocument/2006/relationships/hyperlink" Target="https://my.zakupki.prom.ua/remote/dispatcher/state_contracting_view/3972441" TargetMode="External"/>
  <ns0:Relationship Id="rId1444" Type="http://schemas.openxmlformats.org/officeDocument/2006/relationships/hyperlink" Target="https://my.zakupki.prom.ua/remote/dispatcher/state_purchase_view/15875086" TargetMode="External"/>
  <ns0:Relationship Id="rId1445" Type="http://schemas.openxmlformats.org/officeDocument/2006/relationships/hyperlink" Target="https://my.zakupki.prom.ua/remote/dispatcher/state_contracting_view/3973251" TargetMode="External"/>
  <ns0:Relationship Id="rId1446" Type="http://schemas.openxmlformats.org/officeDocument/2006/relationships/hyperlink" Target="https://my.zakupki.prom.ua/remote/dispatcher/state_purchase_view/16458798" TargetMode="External"/>
  <ns0:Relationship Id="rId1447" Type="http://schemas.openxmlformats.org/officeDocument/2006/relationships/hyperlink" Target="https://my.zakupki.prom.ua/remote/dispatcher/state_contracting_view/4182649" TargetMode="External"/>
  <ns0:Relationship Id="rId1448" Type="http://schemas.openxmlformats.org/officeDocument/2006/relationships/hyperlink" Target="https://my.zakupki.prom.ua/remote/dispatcher/state_purchase_view/16303120" TargetMode="External"/>
  <ns0:Relationship Id="rId1449" Type="http://schemas.openxmlformats.org/officeDocument/2006/relationships/hyperlink" Target="https://my.zakupki.prom.ua/remote/dispatcher/state_contracting_view/4124035" TargetMode="External"/>
  <ns0:Relationship Id="rId1450" Type="http://schemas.openxmlformats.org/officeDocument/2006/relationships/hyperlink" Target="https://my.zakupki.prom.ua/remote/dispatcher/state_purchase_view/16359059" TargetMode="External"/>
  <ns0:Relationship Id="rId1451" Type="http://schemas.openxmlformats.org/officeDocument/2006/relationships/hyperlink" Target="https://my.zakupki.prom.ua/remote/dispatcher/state_contracting_view/4141259" TargetMode="External"/>
  <ns0:Relationship Id="rId1452" Type="http://schemas.openxmlformats.org/officeDocument/2006/relationships/hyperlink" Target="https://my.zakupki.prom.ua/remote/dispatcher/state_purchase_view/16404814" TargetMode="External"/>
  <ns0:Relationship Id="rId1453" Type="http://schemas.openxmlformats.org/officeDocument/2006/relationships/hyperlink" Target="https://my.zakupki.prom.ua/remote/dispatcher/state_contracting_view/4159279" TargetMode="External"/>
  <ns0:Relationship Id="rId1454" Type="http://schemas.openxmlformats.org/officeDocument/2006/relationships/hyperlink" Target="https://my.zakupki.prom.ua/remote/dispatcher/state_purchase_view/16605135" TargetMode="External"/>
  <ns0:Relationship Id="rId1455" Type="http://schemas.openxmlformats.org/officeDocument/2006/relationships/hyperlink" Target="https://my.zakupki.prom.ua/remote/dispatcher/state_contracting_view/4247276" TargetMode="External"/>
  <ns0:Relationship Id="rId1456" Type="http://schemas.openxmlformats.org/officeDocument/2006/relationships/hyperlink" Target="https://my.zakupki.prom.ua/remote/dispatcher/state_purchase_view/15485703" TargetMode="External"/>
  <ns0:Relationship Id="rId1457" Type="http://schemas.openxmlformats.org/officeDocument/2006/relationships/hyperlink" Target="https://my.zakupki.prom.ua/remote/dispatcher/state_contracting_view/3856099" TargetMode="External"/>
  <ns0:Relationship Id="rId1458" Type="http://schemas.openxmlformats.org/officeDocument/2006/relationships/hyperlink" Target="https://my.zakupki.prom.ua/remote/dispatcher/state_purchase_view/15694106" TargetMode="External"/>
  <ns0:Relationship Id="rId1459" Type="http://schemas.openxmlformats.org/officeDocument/2006/relationships/hyperlink" Target="https://my.zakupki.prom.ua/remote/dispatcher/state_contracting_view/3917309" TargetMode="External"/>
  <ns0:Relationship Id="rId1460" Type="http://schemas.openxmlformats.org/officeDocument/2006/relationships/hyperlink" Target="https://my.zakupki.prom.ua/remote/dispatcher/state_purchase_view/15693585" TargetMode="External"/>
  <ns0:Relationship Id="rId1461" Type="http://schemas.openxmlformats.org/officeDocument/2006/relationships/hyperlink" Target="https://my.zakupki.prom.ua/remote/dispatcher/state_contracting_view/3917158" TargetMode="External"/>
  <ns0:Relationship Id="rId1462" Type="http://schemas.openxmlformats.org/officeDocument/2006/relationships/hyperlink" Target="https://my.zakupki.prom.ua/remote/dispatcher/state_purchase_view/14860978" TargetMode="External"/>
  <ns0:Relationship Id="rId1463" Type="http://schemas.openxmlformats.org/officeDocument/2006/relationships/hyperlink" Target="https://my.zakupki.prom.ua/remote/dispatcher/state_contracting_view/3694970" TargetMode="External"/>
  <ns0:Relationship Id="rId1464" Type="http://schemas.openxmlformats.org/officeDocument/2006/relationships/hyperlink" Target="https://my.zakupki.prom.ua/remote/dispatcher/state_purchase_view/17067254" TargetMode="External"/>
  <ns0:Relationship Id="rId1465" Type="http://schemas.openxmlformats.org/officeDocument/2006/relationships/hyperlink" Target="https://my.zakupki.prom.ua/remote/dispatcher/state_contracting_view/4453423" TargetMode="External"/>
  <ns0:Relationship Id="rId1466" Type="http://schemas.openxmlformats.org/officeDocument/2006/relationships/hyperlink" Target="https://my.zakupki.prom.ua/remote/dispatcher/state_purchase_view/17525315" TargetMode="External"/>
  <ns0:Relationship Id="rId1467" Type="http://schemas.openxmlformats.org/officeDocument/2006/relationships/hyperlink" Target="https://my.zakupki.prom.ua/remote/dispatcher/state_contracting_view/4665507" TargetMode="External"/>
  <ns0:Relationship Id="rId1468" Type="http://schemas.openxmlformats.org/officeDocument/2006/relationships/hyperlink" Target="https://my.zakupki.prom.ua/remote/dispatcher/state_purchase_view/17284996" TargetMode="External"/>
  <ns0:Relationship Id="rId1469" Type="http://schemas.openxmlformats.org/officeDocument/2006/relationships/hyperlink" Target="https://my.zakupki.prom.ua/remote/dispatcher/state_contracting_view/4553568" TargetMode="External"/>
  <ns0:Relationship Id="rId1470" Type="http://schemas.openxmlformats.org/officeDocument/2006/relationships/hyperlink" Target="https://my.zakupki.prom.ua/remote/dispatcher/state_purchase_view/16877967" TargetMode="External"/>
  <ns0:Relationship Id="rId1471" Type="http://schemas.openxmlformats.org/officeDocument/2006/relationships/hyperlink" Target="https://my.zakupki.prom.ua/remote/dispatcher/state_contracting_view/4368345" TargetMode="External"/>
  <ns0:Relationship Id="rId1472" Type="http://schemas.openxmlformats.org/officeDocument/2006/relationships/hyperlink" Target="https://my.zakupki.prom.ua/remote/dispatcher/state_purchase_view/16876282" TargetMode="External"/>
  <ns0:Relationship Id="rId1473" Type="http://schemas.openxmlformats.org/officeDocument/2006/relationships/hyperlink" Target="https://my.zakupki.prom.ua/remote/dispatcher/state_contracting_view/4368365" TargetMode="External"/>
  <ns0:Relationship Id="rId1474" Type="http://schemas.openxmlformats.org/officeDocument/2006/relationships/hyperlink" Target="https://my.zakupki.prom.ua/remote/dispatcher/state_purchase_view/16888431" TargetMode="External"/>
  <ns0:Relationship Id="rId1475" Type="http://schemas.openxmlformats.org/officeDocument/2006/relationships/hyperlink" Target="https://my.zakupki.prom.ua/remote/dispatcher/state_contracting_view/4373075" TargetMode="External"/>
  <ns0:Relationship Id="rId1476" Type="http://schemas.openxmlformats.org/officeDocument/2006/relationships/hyperlink" Target="https://my.zakupki.prom.ua/remote/dispatcher/state_purchase_view/17839583" TargetMode="External"/>
  <ns0:Relationship Id="rId1477" Type="http://schemas.openxmlformats.org/officeDocument/2006/relationships/hyperlink" Target="https://my.zakupki.prom.ua/remote/dispatcher/state_contracting_view/4810917" TargetMode="External"/>
  <ns0:Relationship Id="rId1478" Type="http://schemas.openxmlformats.org/officeDocument/2006/relationships/hyperlink" Target="https://my.zakupki.prom.ua/remote/dispatcher/state_purchase_view/18803126" TargetMode="External"/>
  <ns0:Relationship Id="rId1479" Type="http://schemas.openxmlformats.org/officeDocument/2006/relationships/hyperlink" Target="https://my.zakupki.prom.ua/remote/dispatcher/state_contracting_view/5263704" TargetMode="External"/>
  <ns0:Relationship Id="rId1480" Type="http://schemas.openxmlformats.org/officeDocument/2006/relationships/hyperlink" Target="https://my.zakupki.prom.ua/remote/dispatcher/state_purchase_view/18823057" TargetMode="External"/>
  <ns0:Relationship Id="rId1481" Type="http://schemas.openxmlformats.org/officeDocument/2006/relationships/hyperlink" Target="https://my.zakupki.prom.ua/remote/dispatcher/state_contracting_view/5272804" TargetMode="External"/>
  <ns0:Relationship Id="rId1482" Type="http://schemas.openxmlformats.org/officeDocument/2006/relationships/hyperlink" Target="https://my.zakupki.prom.ua/remote/dispatcher/state_purchase_view/18778808" TargetMode="External"/>
  <ns0:Relationship Id="rId1483" Type="http://schemas.openxmlformats.org/officeDocument/2006/relationships/hyperlink" Target="https://my.zakupki.prom.ua/remote/dispatcher/state_contracting_view/5252649" TargetMode="External"/>
  <ns0:Relationship Id="rId1484" Type="http://schemas.openxmlformats.org/officeDocument/2006/relationships/hyperlink" Target="https://my.zakupki.prom.ua/remote/dispatcher/state_purchase_view/18799590" TargetMode="External"/>
  <ns0:Relationship Id="rId1485" Type="http://schemas.openxmlformats.org/officeDocument/2006/relationships/hyperlink" Target="https://my.zakupki.prom.ua/remote/dispatcher/state_contracting_view/5261682" TargetMode="External"/>
  <ns0:Relationship Id="rId1486" Type="http://schemas.openxmlformats.org/officeDocument/2006/relationships/hyperlink" Target="https://my.zakupki.prom.ua/remote/dispatcher/state_purchase_view/19120471" TargetMode="External"/>
  <ns0:Relationship Id="rId1487" Type="http://schemas.openxmlformats.org/officeDocument/2006/relationships/hyperlink" Target="https://my.zakupki.prom.ua/remote/dispatcher/state_contracting_view/5413251" TargetMode="External"/>
  <ns0:Relationship Id="rId1488" Type="http://schemas.openxmlformats.org/officeDocument/2006/relationships/hyperlink" Target="https://my.zakupki.prom.ua/remote/dispatcher/state_purchase_view/17507168" TargetMode="External"/>
  <ns0:Relationship Id="rId1489" Type="http://schemas.openxmlformats.org/officeDocument/2006/relationships/hyperlink" Target="https://my.zakupki.prom.ua/remote/dispatcher/state_contracting_view/4656528" TargetMode="External"/>
  <ns0:Relationship Id="rId1490" Type="http://schemas.openxmlformats.org/officeDocument/2006/relationships/hyperlink" Target="https://my.zakupki.prom.ua/remote/dispatcher/state_purchase_view/17714040" TargetMode="External"/>
  <ns0:Relationship Id="rId1491" Type="http://schemas.openxmlformats.org/officeDocument/2006/relationships/hyperlink" Target="https://my.zakupki.prom.ua/remote/dispatcher/state_contracting_view/4752358" TargetMode="External"/>
  <ns0:Relationship Id="rId1492" Type="http://schemas.openxmlformats.org/officeDocument/2006/relationships/hyperlink" Target="https://my.zakupki.prom.ua/remote/dispatcher/state_purchase_view/17768201" TargetMode="External"/>
  <ns0:Relationship Id="rId1493" Type="http://schemas.openxmlformats.org/officeDocument/2006/relationships/hyperlink" Target="https://my.zakupki.prom.ua/remote/dispatcher/state_contracting_view/4777617" TargetMode="External"/>
  <ns0:Relationship Id="rId1494" Type="http://schemas.openxmlformats.org/officeDocument/2006/relationships/hyperlink" Target="https://my.zakupki.prom.ua/remote/dispatcher/state_purchase_view/17760294" TargetMode="External"/>
  <ns0:Relationship Id="rId1495" Type="http://schemas.openxmlformats.org/officeDocument/2006/relationships/hyperlink" Target="https://my.zakupki.prom.ua/remote/dispatcher/state_contracting_view/4774111" TargetMode="External"/>
  <ns0:Relationship Id="rId1496" Type="http://schemas.openxmlformats.org/officeDocument/2006/relationships/hyperlink" Target="https://my.zakupki.prom.ua/remote/dispatcher/state_purchase_view/18599721" TargetMode="External"/>
  <ns0:Relationship Id="rId1497" Type="http://schemas.openxmlformats.org/officeDocument/2006/relationships/hyperlink" Target="https://my.zakupki.prom.ua/remote/dispatcher/state_contracting_view/5165730" TargetMode="External"/>
  <ns0:Relationship Id="rId1498" Type="http://schemas.openxmlformats.org/officeDocument/2006/relationships/hyperlink" Target="https://my.zakupki.prom.ua/remote/dispatcher/state_purchase_view/18480299" TargetMode="External"/>
  <ns0:Relationship Id="rId1499" Type="http://schemas.openxmlformats.org/officeDocument/2006/relationships/hyperlink" Target="https://my.zakupki.prom.ua/remote/dispatcher/state_contracting_view/5109377" TargetMode="External"/>
  <ns0:Relationship Id="rId1500" Type="http://schemas.openxmlformats.org/officeDocument/2006/relationships/hyperlink" Target="https://my.zakupki.prom.ua/remote/dispatcher/state_purchase_view/18484786" TargetMode="External"/>
  <ns0:Relationship Id="rId1501" Type="http://schemas.openxmlformats.org/officeDocument/2006/relationships/hyperlink" Target="https://my.zakupki.prom.ua/remote/dispatcher/state_contracting_view/5111558" TargetMode="External"/>
  <ns0:Relationship Id="rId1502" Type="http://schemas.openxmlformats.org/officeDocument/2006/relationships/hyperlink" Target="https://my.zakupki.prom.ua/remote/dispatcher/state_purchase_view/18429517" TargetMode="External"/>
  <ns0:Relationship Id="rId1503" Type="http://schemas.openxmlformats.org/officeDocument/2006/relationships/hyperlink" Target="https://my.zakupki.prom.ua/remote/dispatcher/state_contracting_view/5085602" TargetMode="External"/>
  <ns0:Relationship Id="rId1504" Type="http://schemas.openxmlformats.org/officeDocument/2006/relationships/hyperlink" Target="https://my.zakupki.prom.ua/remote/dispatcher/state_purchase_view/18420598" TargetMode="External"/>
  <ns0:Relationship Id="rId1505" Type="http://schemas.openxmlformats.org/officeDocument/2006/relationships/hyperlink" Target="https://my.zakupki.prom.ua/remote/dispatcher/state_contracting_view/5081291" TargetMode="External"/>
  <ns0:Relationship Id="rId1506" Type="http://schemas.openxmlformats.org/officeDocument/2006/relationships/hyperlink" Target="https://my.zakupki.prom.ua/remote/dispatcher/state_purchase_view/18655243" TargetMode="External"/>
  <ns0:Relationship Id="rId1507" Type="http://schemas.openxmlformats.org/officeDocument/2006/relationships/hyperlink" Target="https://my.zakupki.prom.ua/remote/dispatcher/state_contracting_view/5191610" TargetMode="External"/>
  <ns0:Relationship Id="rId1508" Type="http://schemas.openxmlformats.org/officeDocument/2006/relationships/hyperlink" Target="https://my.zakupki.prom.ua/remote/dispatcher/state_purchase_view/18579412" TargetMode="External"/>
  <ns0:Relationship Id="rId1509" Type="http://schemas.openxmlformats.org/officeDocument/2006/relationships/hyperlink" Target="https://my.zakupki.prom.ua/remote/dispatcher/state_contracting_view/5155837" TargetMode="External"/>
  <ns0:Relationship Id="rId1510" Type="http://schemas.openxmlformats.org/officeDocument/2006/relationships/hyperlink" Target="https://my.zakupki.prom.ua/remote/dispatcher/state_purchase_view/19243676" TargetMode="External"/>
  <ns0:Relationship Id="rId1511" Type="http://schemas.openxmlformats.org/officeDocument/2006/relationships/hyperlink" Target="https://my.zakupki.prom.ua/remote/dispatcher/state_contracting_view/5471585" TargetMode="External"/>
  <ns0:Relationship Id="rId1512" Type="http://schemas.openxmlformats.org/officeDocument/2006/relationships/hyperlink" Target="https://my.zakupki.prom.ua/remote/dispatcher/state_purchase_view/19234855" TargetMode="External"/>
  <ns0:Relationship Id="rId1513" Type="http://schemas.openxmlformats.org/officeDocument/2006/relationships/hyperlink" Target="https://my.zakupki.prom.ua/remote/dispatcher/state_contracting_view/5467266" TargetMode="External"/>
  <ns0:Relationship Id="rId1514" Type="http://schemas.openxmlformats.org/officeDocument/2006/relationships/hyperlink" Target="https://my.zakupki.prom.ua/remote/dispatcher/state_purchase_view/19735730" TargetMode="External"/>
  <ns0:Relationship Id="rId1515" Type="http://schemas.openxmlformats.org/officeDocument/2006/relationships/hyperlink" Target="https://my.zakupki.prom.ua/remote/dispatcher/state_contracting_view/5704126" TargetMode="External"/>
  <ns0:Relationship Id="rId1516" Type="http://schemas.openxmlformats.org/officeDocument/2006/relationships/hyperlink" Target="https://my.zakupki.prom.ua/remote/dispatcher/state_purchase_view/19794360" TargetMode="External"/>
  <ns0:Relationship Id="rId1517" Type="http://schemas.openxmlformats.org/officeDocument/2006/relationships/hyperlink" Target="https://my.zakupki.prom.ua/remote/dispatcher/state_contracting_view/5731880" TargetMode="External"/>
  <ns0:Relationship Id="rId1518" Type="http://schemas.openxmlformats.org/officeDocument/2006/relationships/hyperlink" Target="https://my.zakupki.prom.ua/remote/dispatcher/state_purchase_view/19221127" TargetMode="External"/>
  <ns0:Relationship Id="rId1519" Type="http://schemas.openxmlformats.org/officeDocument/2006/relationships/hyperlink" Target="https://my.zakupki.prom.ua/remote/dispatcher/state_contracting_view/5460423" TargetMode="External"/>
  <ns0:Relationship Id="rId1520" Type="http://schemas.openxmlformats.org/officeDocument/2006/relationships/hyperlink" Target="https://my.zakupki.prom.ua/remote/dispatcher/state_purchase_view/19237788" TargetMode="External"/>
  <ns0:Relationship Id="rId1521" Type="http://schemas.openxmlformats.org/officeDocument/2006/relationships/hyperlink" Target="https://my.zakupki.prom.ua/remote/dispatcher/state_contracting_view/5468710" TargetMode="External"/>
  <ns0:Relationship Id="rId1522" Type="http://schemas.openxmlformats.org/officeDocument/2006/relationships/hyperlink" Target="https://my.zakupki.prom.ua/remote/dispatcher/state_purchase_view/19222846" TargetMode="External"/>
  <ns0:Relationship Id="rId1523" Type="http://schemas.openxmlformats.org/officeDocument/2006/relationships/hyperlink" Target="https://my.zakupki.prom.ua/remote/dispatcher/state_contracting_view/5461220" TargetMode="External"/>
  <ns0:Relationship Id="rId1524" Type="http://schemas.openxmlformats.org/officeDocument/2006/relationships/hyperlink" Target="https://my.zakupki.prom.ua/remote/dispatcher/state_purchase_view/19318854" TargetMode="External"/>
  <ns0:Relationship Id="rId1525" Type="http://schemas.openxmlformats.org/officeDocument/2006/relationships/hyperlink" Target="https://my.zakupki.prom.ua/remote/dispatcher/state_contracting_view/5507407" TargetMode="External"/>
  <ns0:Relationship Id="rId1526" Type="http://schemas.openxmlformats.org/officeDocument/2006/relationships/hyperlink" Target="https://my.zakupki.prom.ua/remote/dispatcher/state_purchase_view/19360013" TargetMode="External"/>
  <ns0:Relationship Id="rId1527" Type="http://schemas.openxmlformats.org/officeDocument/2006/relationships/hyperlink" Target="https://my.zakupki.prom.ua/remote/dispatcher/state_contracting_view/5527171" TargetMode="External"/>
  <ns0:Relationship Id="rId1528" Type="http://schemas.openxmlformats.org/officeDocument/2006/relationships/hyperlink" Target="https://my.zakupki.prom.ua/remote/dispatcher/state_purchase_view/17967241" TargetMode="External"/>
  <ns0:Relationship Id="rId1529" Type="http://schemas.openxmlformats.org/officeDocument/2006/relationships/hyperlink" Target="https://my.zakupki.prom.ua/remote/dispatcher/state_contracting_view/4869959" TargetMode="External"/>
  <ns0:Relationship Id="rId1530" Type="http://schemas.openxmlformats.org/officeDocument/2006/relationships/hyperlink" Target="https://my.zakupki.prom.ua/remote/dispatcher/state_purchase_view/18030245" TargetMode="External"/>
  <ns0:Relationship Id="rId1531" Type="http://schemas.openxmlformats.org/officeDocument/2006/relationships/hyperlink" Target="https://my.zakupki.prom.ua/remote/dispatcher/state_contracting_view/4899941" TargetMode="External"/>
  <ns0:Relationship Id="rId1532" Type="http://schemas.openxmlformats.org/officeDocument/2006/relationships/hyperlink" Target="https://my.zakupki.prom.ua/remote/dispatcher/state_purchase_view/18030782" TargetMode="External"/>
  <ns0:Relationship Id="rId1533" Type="http://schemas.openxmlformats.org/officeDocument/2006/relationships/hyperlink" Target="https://my.zakupki.prom.ua/remote/dispatcher/state_contracting_view/4900287" TargetMode="External"/>
  <ns0:Relationship Id="rId1534" Type="http://schemas.openxmlformats.org/officeDocument/2006/relationships/hyperlink" Target="https://my.zakupki.prom.ua/remote/dispatcher/state_purchase_view/18033947" TargetMode="External"/>
  <ns0:Relationship Id="rId1535" Type="http://schemas.openxmlformats.org/officeDocument/2006/relationships/hyperlink" Target="https://my.zakupki.prom.ua/remote/dispatcher/state_contracting_view/4901537" TargetMode="External"/>
  <ns0:Relationship Id="rId1536" Type="http://schemas.openxmlformats.org/officeDocument/2006/relationships/hyperlink" Target="https://my.zakupki.prom.ua/remote/dispatcher/state_purchase_view/18048057" TargetMode="External"/>
  <ns0:Relationship Id="rId1537" Type="http://schemas.openxmlformats.org/officeDocument/2006/relationships/hyperlink" Target="https://my.zakupki.prom.ua/remote/dispatcher/state_contracting_view/4908098" TargetMode="External"/>
  <ns0:Relationship Id="rId1538" Type="http://schemas.openxmlformats.org/officeDocument/2006/relationships/hyperlink" Target="https://my.zakupki.prom.ua/remote/dispatcher/state_purchase_view/18028853" TargetMode="External"/>
  <ns0:Relationship Id="rId1539" Type="http://schemas.openxmlformats.org/officeDocument/2006/relationships/hyperlink" Target="https://my.zakupki.prom.ua/remote/dispatcher/state_contracting_view/4899464" TargetMode="External"/>
  <ns0:Relationship Id="rId1540" Type="http://schemas.openxmlformats.org/officeDocument/2006/relationships/hyperlink" Target="https://my.zakupki.prom.ua/remote/dispatcher/state_purchase_view/18254975" TargetMode="External"/>
  <ns0:Relationship Id="rId1541" Type="http://schemas.openxmlformats.org/officeDocument/2006/relationships/hyperlink" Target="https://my.zakupki.prom.ua/remote/dispatcher/state_contracting_view/5004425" TargetMode="External"/>
  <ns0:Relationship Id="rId1542" Type="http://schemas.openxmlformats.org/officeDocument/2006/relationships/hyperlink" Target="https://my.zakupki.prom.ua/remote/dispatcher/state_purchase_view/18281361" TargetMode="External"/>
  <ns0:Relationship Id="rId1543" Type="http://schemas.openxmlformats.org/officeDocument/2006/relationships/hyperlink" Target="https://my.zakupki.prom.ua/remote/dispatcher/state_contracting_view/5016751" TargetMode="External"/>
  <ns0:Relationship Id="rId1544" Type="http://schemas.openxmlformats.org/officeDocument/2006/relationships/hyperlink" Target="https://my.zakupki.prom.ua/remote/dispatcher/state_purchase_view/20741815" TargetMode="External"/>
  <ns0:Relationship Id="rId1545" Type="http://schemas.openxmlformats.org/officeDocument/2006/relationships/hyperlink" Target="https://my.zakupki.prom.ua/remote/dispatcher/state_contracting_view/6184828" TargetMode="External"/>
  <ns0:Relationship Id="rId1546" Type="http://schemas.openxmlformats.org/officeDocument/2006/relationships/hyperlink" Target="https://my.zakupki.prom.ua/remote/dispatcher/state_purchase_view/20734048" TargetMode="External"/>
  <ns0:Relationship Id="rId1547" Type="http://schemas.openxmlformats.org/officeDocument/2006/relationships/hyperlink" Target="https://my.zakupki.prom.ua/remote/dispatcher/state_contracting_view/6181331" TargetMode="External"/>
  <ns0:Relationship Id="rId1548" Type="http://schemas.openxmlformats.org/officeDocument/2006/relationships/hyperlink" Target="https://my.zakupki.prom.ua/remote/dispatcher/state_purchase_view/20735369" TargetMode="External"/>
  <ns0:Relationship Id="rId1549" Type="http://schemas.openxmlformats.org/officeDocument/2006/relationships/hyperlink" Target="https://my.zakupki.prom.ua/remote/dispatcher/state_contracting_view/6181521" TargetMode="External"/>
  <ns0:Relationship Id="rId1550" Type="http://schemas.openxmlformats.org/officeDocument/2006/relationships/hyperlink" Target="https://my.zakupki.prom.ua/remote/dispatcher/state_purchase_view/18194602" TargetMode="External"/>
  <ns0:Relationship Id="rId1551" Type="http://schemas.openxmlformats.org/officeDocument/2006/relationships/hyperlink" Target="https://my.zakupki.prom.ua/remote/dispatcher/state_contracting_view/4977465" TargetMode="External"/>
  <ns0:Relationship Id="rId1552" Type="http://schemas.openxmlformats.org/officeDocument/2006/relationships/hyperlink" Target="https://my.zakupki.prom.ua/remote/dispatcher/state_purchase_view/18201142" TargetMode="External"/>
  <ns0:Relationship Id="rId1553" Type="http://schemas.openxmlformats.org/officeDocument/2006/relationships/hyperlink" Target="https://my.zakupki.prom.ua/remote/dispatcher/state_contracting_view/4980465" TargetMode="External"/>
  <ns0:Relationship Id="rId1554" Type="http://schemas.openxmlformats.org/officeDocument/2006/relationships/hyperlink" Target="https://my.zakupki.prom.ua/remote/dispatcher/state_purchase_view/20598050" TargetMode="External"/>
  <ns0:Relationship Id="rId1555" Type="http://schemas.openxmlformats.org/officeDocument/2006/relationships/hyperlink" Target="https://my.zakupki.prom.ua/remote/dispatcher/state_contracting_view/6117634" TargetMode="External"/>
  <ns0:Relationship Id="rId1556" Type="http://schemas.openxmlformats.org/officeDocument/2006/relationships/hyperlink" Target="https://my.zakupki.prom.ua/remote/dispatcher/state_purchase_view/21142581" TargetMode="External"/>
  <ns0:Relationship Id="rId1557" Type="http://schemas.openxmlformats.org/officeDocument/2006/relationships/hyperlink" Target="https://my.zakupki.prom.ua/remote/dispatcher/state_contracting_view/6374080" TargetMode="External"/>
  <ns0:Relationship Id="rId1558" Type="http://schemas.openxmlformats.org/officeDocument/2006/relationships/hyperlink" Target="https://my.zakupki.prom.ua/remote/dispatcher/state_purchase_view/21141286" TargetMode="External"/>
  <ns0:Relationship Id="rId1559" Type="http://schemas.openxmlformats.org/officeDocument/2006/relationships/hyperlink" Target="https://my.zakupki.prom.ua/remote/dispatcher/state_contracting_view/6373599" TargetMode="External"/>
  <ns0:Relationship Id="rId1560" Type="http://schemas.openxmlformats.org/officeDocument/2006/relationships/hyperlink" Target="https://my.zakupki.prom.ua/remote/dispatcher/state_purchase_view/20879707" TargetMode="External"/>
  <ns0:Relationship Id="rId1561" Type="http://schemas.openxmlformats.org/officeDocument/2006/relationships/hyperlink" Target="https://my.zakupki.prom.ua/remote/dispatcher/state_contracting_view/6250941" TargetMode="External"/>
  <ns0:Relationship Id="rId1562" Type="http://schemas.openxmlformats.org/officeDocument/2006/relationships/hyperlink" Target="https://my.zakupki.prom.ua/remote/dispatcher/state_purchase_view/20878888" TargetMode="External"/>
  <ns0:Relationship Id="rId1563" Type="http://schemas.openxmlformats.org/officeDocument/2006/relationships/hyperlink" Target="https://my.zakupki.prom.ua/remote/dispatcher/state_contracting_view/6250560" TargetMode="External"/>
  <ns0:Relationship Id="rId1564" Type="http://schemas.openxmlformats.org/officeDocument/2006/relationships/hyperlink" Target="https://my.zakupki.prom.ua/remote/dispatcher/state_purchase_view/20875533" TargetMode="External"/>
  <ns0:Relationship Id="rId1565" Type="http://schemas.openxmlformats.org/officeDocument/2006/relationships/hyperlink" Target="https://my.zakupki.prom.ua/remote/dispatcher/state_contracting_view/6248820" TargetMode="External"/>
  <ns0:Relationship Id="rId1566" Type="http://schemas.openxmlformats.org/officeDocument/2006/relationships/hyperlink" Target="https://my.zakupki.prom.ua/remote/dispatcher/state_purchase_view/20600368" TargetMode="External"/>
  <ns0:Relationship Id="rId1567" Type="http://schemas.openxmlformats.org/officeDocument/2006/relationships/hyperlink" Target="https://my.zakupki.prom.ua/remote/dispatcher/state_contracting_view/6118676" TargetMode="External"/>
  <ns0:Relationship Id="rId1568" Type="http://schemas.openxmlformats.org/officeDocument/2006/relationships/hyperlink" Target="https://my.zakupki.prom.ua/remote/dispatcher/state_purchase_view/20741044" TargetMode="External"/>
  <ns0:Relationship Id="rId1569" Type="http://schemas.openxmlformats.org/officeDocument/2006/relationships/hyperlink" Target="https://my.zakupki.prom.ua/remote/dispatcher/state_contracting_view/6184377" TargetMode="External"/>
  <ns0:Relationship Id="rId1570" Type="http://schemas.openxmlformats.org/officeDocument/2006/relationships/hyperlink" Target="https://my.zakupki.prom.ua/remote/dispatcher/state_purchase_view/21171344" TargetMode="External"/>
  <ns0:Relationship Id="rId1571" Type="http://schemas.openxmlformats.org/officeDocument/2006/relationships/hyperlink" Target="https://my.zakupki.prom.ua/remote/dispatcher/state_contracting_view/6387591" TargetMode="External"/>
  <ns0:Relationship Id="rId1572" Type="http://schemas.openxmlformats.org/officeDocument/2006/relationships/hyperlink" Target="https://my.zakupki.prom.ua/remote/dispatcher/state_purchase_view/21290054" TargetMode="External"/>
  <ns0:Relationship Id="rId1573" Type="http://schemas.openxmlformats.org/officeDocument/2006/relationships/hyperlink" Target="https://my.zakupki.prom.ua/remote/dispatcher/state_contracting_view/6442150" TargetMode="External"/>
  <ns0:Relationship Id="rId1574" Type="http://schemas.openxmlformats.org/officeDocument/2006/relationships/hyperlink" Target="https://my.zakupki.prom.ua/remote/dispatcher/state_purchase_view/20884367" TargetMode="External"/>
  <ns0:Relationship Id="rId1575" Type="http://schemas.openxmlformats.org/officeDocument/2006/relationships/hyperlink" Target="https://my.zakupki.prom.ua/remote/dispatcher/state_contracting_view/6252915" TargetMode="External"/>
  <ns0:Relationship Id="rId1576" Type="http://schemas.openxmlformats.org/officeDocument/2006/relationships/hyperlink" Target="https://my.zakupki.prom.ua/remote/dispatcher/state_purchase_view/20883527" TargetMode="External"/>
  <ns0:Relationship Id="rId1577" Type="http://schemas.openxmlformats.org/officeDocument/2006/relationships/hyperlink" Target="https://my.zakupki.prom.ua/remote/dispatcher/state_contracting_view/6252486" TargetMode="External"/>
  <ns0:Relationship Id="rId1578" Type="http://schemas.openxmlformats.org/officeDocument/2006/relationships/hyperlink" Target="https://my.zakupki.prom.ua/remote/dispatcher/state_purchase_view/20578097" TargetMode="External"/>
  <ns0:Relationship Id="rId1579" Type="http://schemas.openxmlformats.org/officeDocument/2006/relationships/hyperlink" Target="https://my.zakupki.prom.ua/remote/dispatcher/state_contracting_view/6109292" TargetMode="External"/>
  <ns0:Relationship Id="rId1580" Type="http://schemas.openxmlformats.org/officeDocument/2006/relationships/hyperlink" Target="https://my.zakupki.prom.ua/remote/dispatcher/state_purchase_view/21508830" TargetMode="External"/>
  <ns0:Relationship Id="rId1581" Type="http://schemas.openxmlformats.org/officeDocument/2006/relationships/hyperlink" Target="https://my.zakupki.prom.ua/remote/dispatcher/state_contracting_view/6545248" TargetMode="External"/>
  <ns0:Relationship Id="rId1582" Type="http://schemas.openxmlformats.org/officeDocument/2006/relationships/hyperlink" Target="https://my.zakupki.prom.ua/remote/dispatcher/state_purchase_view/21504776" TargetMode="External"/>
  <ns0:Relationship Id="rId1583" Type="http://schemas.openxmlformats.org/officeDocument/2006/relationships/hyperlink" Target="https://my.zakupki.prom.ua/remote/dispatcher/state_contracting_view/6542868" TargetMode="External"/>
  <ns0:Relationship Id="rId1584" Type="http://schemas.openxmlformats.org/officeDocument/2006/relationships/hyperlink" Target="https://my.zakupki.prom.ua/remote/dispatcher/state_purchase_view/20020824" TargetMode="External"/>
  <ns0:Relationship Id="rId1585" Type="http://schemas.openxmlformats.org/officeDocument/2006/relationships/hyperlink" Target="https://my.zakupki.prom.ua/remote/dispatcher/state_contracting_view/5837249" TargetMode="External"/>
  <ns0:Relationship Id="rId1586" Type="http://schemas.openxmlformats.org/officeDocument/2006/relationships/hyperlink" Target="https://my.zakupki.prom.ua/remote/dispatcher/state_purchase_view/22710350" TargetMode="External"/>
  <ns0:Relationship Id="rId1587" Type="http://schemas.openxmlformats.org/officeDocument/2006/relationships/hyperlink" Target="https://my.zakupki.prom.ua/remote/dispatcher/state_contracting_view/7119350" TargetMode="External"/>
  <ns0:Relationship Id="rId1588" Type="http://schemas.openxmlformats.org/officeDocument/2006/relationships/hyperlink" Target="https://my.zakupki.prom.ua/remote/dispatcher/state_purchase_view/22772822" TargetMode="External"/>
  <ns0:Relationship Id="rId1589" Type="http://schemas.openxmlformats.org/officeDocument/2006/relationships/hyperlink" Target="https://my.zakupki.prom.ua/remote/dispatcher/state_contracting_view/7150380" TargetMode="External"/>
  <ns0:Relationship Id="rId1590" Type="http://schemas.openxmlformats.org/officeDocument/2006/relationships/hyperlink" Target="https://my.zakupki.prom.ua/remote/dispatcher/state_purchase_view/20984562" TargetMode="External"/>
  <ns0:Relationship Id="rId1591" Type="http://schemas.openxmlformats.org/officeDocument/2006/relationships/hyperlink" Target="https://my.zakupki.prom.ua/remote/dispatcher/state_contracting_view/6300742" TargetMode="External"/>
  <ns0:Relationship Id="rId1592" Type="http://schemas.openxmlformats.org/officeDocument/2006/relationships/hyperlink" Target="https://my.zakupki.prom.ua/remote/dispatcher/state_purchase_view/20986305" TargetMode="External"/>
  <ns0:Relationship Id="rId1593" Type="http://schemas.openxmlformats.org/officeDocument/2006/relationships/hyperlink" Target="https://my.zakupki.prom.ua/remote/dispatcher/state_contracting_view/6301501" TargetMode="External"/>
  <ns0:Relationship Id="rId1594" Type="http://schemas.openxmlformats.org/officeDocument/2006/relationships/hyperlink" Target="https://my.zakupki.prom.ua/remote/dispatcher/state_purchase_view/20986977" TargetMode="External"/>
  <ns0:Relationship Id="rId1595" Type="http://schemas.openxmlformats.org/officeDocument/2006/relationships/hyperlink" Target="https://my.zakupki.prom.ua/remote/dispatcher/state_contracting_view/6301999" TargetMode="External"/>
  <ns0:Relationship Id="rId1596" Type="http://schemas.openxmlformats.org/officeDocument/2006/relationships/hyperlink" Target="https://my.zakupki.prom.ua/remote/dispatcher/state_purchase_view/21835751" TargetMode="External"/>
  <ns0:Relationship Id="rId1597" Type="http://schemas.openxmlformats.org/officeDocument/2006/relationships/hyperlink" Target="https://my.zakupki.prom.ua/remote/dispatcher/state_contracting_view/6696702" TargetMode="External"/>
  <ns0:Relationship Id="rId1598" Type="http://schemas.openxmlformats.org/officeDocument/2006/relationships/hyperlink" Target="https://my.zakupki.prom.ua/remote/dispatcher/state_purchase_view/21853330" TargetMode="External"/>
  <ns0:Relationship Id="rId1599" Type="http://schemas.openxmlformats.org/officeDocument/2006/relationships/hyperlink" Target="https://my.zakupki.prom.ua/remote/dispatcher/state_contracting_view/6704785" TargetMode="External"/>
  <ns0:Relationship Id="rId1600" Type="http://schemas.openxmlformats.org/officeDocument/2006/relationships/hyperlink" Target="https://my.zakupki.prom.ua/remote/dispatcher/state_purchase_view/15495489" TargetMode="External"/>
  <ns0:Relationship Id="rId1601" Type="http://schemas.openxmlformats.org/officeDocument/2006/relationships/hyperlink" Target="https://my.zakupki.prom.ua/remote/dispatcher/state_contracting_view/3929388" TargetMode="External"/>
  <ns0:Relationship Id="rId1602" Type="http://schemas.openxmlformats.org/officeDocument/2006/relationships/hyperlink" Target="https://my.zakupki.prom.ua/remote/dispatcher/state_purchase_view/21477240" TargetMode="External"/>
  <ns0:Relationship Id="rId1603" Type="http://schemas.openxmlformats.org/officeDocument/2006/relationships/hyperlink" Target="https://my.zakupki.prom.ua/remote/dispatcher/state_contracting_view/6530102" TargetMode="External"/>
  <ns0:Relationship Id="rId1604" Type="http://schemas.openxmlformats.org/officeDocument/2006/relationships/hyperlink" Target="https://my.zakupki.prom.ua/remote/dispatcher/state_purchase_view/21486922" TargetMode="External"/>
  <ns0:Relationship Id="rId1605" Type="http://schemas.openxmlformats.org/officeDocument/2006/relationships/hyperlink" Target="https://my.zakupki.prom.ua/remote/dispatcher/state_contracting_view/6534369" TargetMode="External"/>
  <ns0:Relationship Id="rId1606" Type="http://schemas.openxmlformats.org/officeDocument/2006/relationships/hyperlink" Target="https://my.zakupki.prom.ua/remote/dispatcher/state_purchase_view/22778157" TargetMode="External"/>
  <ns0:Relationship Id="rId1607" Type="http://schemas.openxmlformats.org/officeDocument/2006/relationships/hyperlink" Target="https://my.zakupki.prom.ua/remote/dispatcher/state_contracting_view/7152803" TargetMode="External"/>
  <ns0:Relationship Id="rId1608" Type="http://schemas.openxmlformats.org/officeDocument/2006/relationships/hyperlink" Target="https://my.zakupki.prom.ua/remote/dispatcher/state_purchase_view/21987522" TargetMode="External"/>
  <ns0:Relationship Id="rId1609" Type="http://schemas.openxmlformats.org/officeDocument/2006/relationships/hyperlink" Target="https://my.zakupki.prom.ua/remote/dispatcher/state_contracting_view/6768834" TargetMode="External"/>
  <ns0:Relationship Id="rId1610" Type="http://schemas.openxmlformats.org/officeDocument/2006/relationships/hyperlink" Target="https://my.zakupki.prom.ua/remote/dispatcher/state_purchase_view/21426323" TargetMode="External"/>
  <ns0:Relationship Id="rId1611" Type="http://schemas.openxmlformats.org/officeDocument/2006/relationships/hyperlink" Target="https://my.zakupki.prom.ua/remote/dispatcher/state_contracting_view/6506429" TargetMode="External"/>
  <ns0:Relationship Id="rId1612" Type="http://schemas.openxmlformats.org/officeDocument/2006/relationships/hyperlink" Target="https://my.zakupki.prom.ua/remote/dispatcher/state_purchase_view/21398742" TargetMode="External"/>
  <ns0:Relationship Id="rId1613" Type="http://schemas.openxmlformats.org/officeDocument/2006/relationships/hyperlink" Target="https://my.zakupki.prom.ua/remote/dispatcher/state_contracting_view/6493593" TargetMode="External"/>
  <ns0:Relationship Id="rId1614" Type="http://schemas.openxmlformats.org/officeDocument/2006/relationships/hyperlink" Target="https://my.zakupki.prom.ua/remote/dispatcher/state_purchase_view/15097830" TargetMode="External"/>
  <ns0:Relationship Id="rId1615" Type="http://schemas.openxmlformats.org/officeDocument/2006/relationships/hyperlink" Target="https://my.zakupki.prom.ua/remote/dispatcher/state_contracting_view/3752909" TargetMode="External"/>
  <ns0:Relationship Id="rId1616" Type="http://schemas.openxmlformats.org/officeDocument/2006/relationships/hyperlink" Target="https://my.zakupki.prom.ua/remote/dispatcher/state_purchase_view/15188475" TargetMode="External"/>
  <ns0:Relationship Id="rId1617" Type="http://schemas.openxmlformats.org/officeDocument/2006/relationships/hyperlink" Target="https://my.zakupki.prom.ua/remote/dispatcher/state_contracting_view/3774224" TargetMode="External"/>
  <ns0:Relationship Id="rId1618" Type="http://schemas.openxmlformats.org/officeDocument/2006/relationships/hyperlink" Target="https://my.zakupki.prom.ua/remote/dispatcher/state_purchase_view/15696074" TargetMode="External"/>
  <ns0:Relationship Id="rId1619" Type="http://schemas.openxmlformats.org/officeDocument/2006/relationships/hyperlink" Target="https://my.zakupki.prom.ua/remote/dispatcher/state_contracting_view/3917925" TargetMode="External"/>
  <ns0:Relationship Id="rId1620" Type="http://schemas.openxmlformats.org/officeDocument/2006/relationships/hyperlink" Target="https://my.zakupki.prom.ua/remote/dispatcher/state_purchase_view/15955410" TargetMode="External"/>
  <ns0:Relationship Id="rId1621" Type="http://schemas.openxmlformats.org/officeDocument/2006/relationships/hyperlink" Target="https://my.zakupki.prom.ua/remote/dispatcher/state_contracting_view/3999968" TargetMode="External"/>
  <ns0:Relationship Id="rId1622" Type="http://schemas.openxmlformats.org/officeDocument/2006/relationships/hyperlink" Target="https://my.zakupki.prom.ua/remote/dispatcher/state_purchase_view/16213621" TargetMode="External"/>
  <ns0:Relationship Id="rId1623" Type="http://schemas.openxmlformats.org/officeDocument/2006/relationships/hyperlink" Target="https://my.zakupki.prom.ua/remote/dispatcher/state_contracting_view/4089640" TargetMode="External"/>
  <ns0:Relationship Id="rId1624" Type="http://schemas.openxmlformats.org/officeDocument/2006/relationships/hyperlink" Target="https://my.zakupki.prom.ua/remote/dispatcher/state_purchase_view/16006815" TargetMode="External"/>
  <ns0:Relationship Id="rId1625" Type="http://schemas.openxmlformats.org/officeDocument/2006/relationships/hyperlink" Target="https://my.zakupki.prom.ua/remote/dispatcher/state_contracting_view/4017328" TargetMode="External"/>
  <ns0:Relationship Id="rId1626" Type="http://schemas.openxmlformats.org/officeDocument/2006/relationships/hyperlink" Target="https://my.zakupki.prom.ua/remote/dispatcher/state_purchase_view/15893475" TargetMode="External"/>
  <ns0:Relationship Id="rId1627" Type="http://schemas.openxmlformats.org/officeDocument/2006/relationships/hyperlink" Target="https://my.zakupki.prom.ua/remote/dispatcher/state_contracting_view/3978993" TargetMode="External"/>
  <ns0:Relationship Id="rId1628" Type="http://schemas.openxmlformats.org/officeDocument/2006/relationships/hyperlink" Target="https://my.zakupki.prom.ua/remote/dispatcher/state_purchase_view/16077709" TargetMode="External"/>
  <ns0:Relationship Id="rId1629" Type="http://schemas.openxmlformats.org/officeDocument/2006/relationships/hyperlink" Target="https://my.zakupki.prom.ua/remote/dispatcher/state_contracting_view/4041996" TargetMode="External"/>
  <ns0:Relationship Id="rId1630" Type="http://schemas.openxmlformats.org/officeDocument/2006/relationships/hyperlink" Target="https://my.zakupki.prom.ua/remote/dispatcher/state_purchase_view/16358597" TargetMode="External"/>
  <ns0:Relationship Id="rId1631" Type="http://schemas.openxmlformats.org/officeDocument/2006/relationships/hyperlink" Target="https://my.zakupki.prom.ua/remote/dispatcher/state_contracting_view/4141029" TargetMode="External"/>
  <ns0:Relationship Id="rId1632" Type="http://schemas.openxmlformats.org/officeDocument/2006/relationships/hyperlink" Target="https://my.zakupki.prom.ua/remote/dispatcher/state_purchase_view/14471366" TargetMode="External"/>
  <ns0:Relationship Id="rId1633" Type="http://schemas.openxmlformats.org/officeDocument/2006/relationships/hyperlink" Target="https://my.zakupki.prom.ua/remote/dispatcher/state_contracting_view/3627871" TargetMode="External"/>
  <ns0:Relationship Id="rId1634" Type="http://schemas.openxmlformats.org/officeDocument/2006/relationships/hyperlink" Target="https://my.zakupki.prom.ua/remote/dispatcher/state_purchase_view/16491923" TargetMode="External"/>
  <ns0:Relationship Id="rId1635" Type="http://schemas.openxmlformats.org/officeDocument/2006/relationships/hyperlink" Target="https://my.zakupki.prom.ua/remote/dispatcher/state_contracting_view/4197888" TargetMode="External"/>
  <ns0:Relationship Id="rId1636" Type="http://schemas.openxmlformats.org/officeDocument/2006/relationships/hyperlink" Target="https://my.zakupki.prom.ua/remote/dispatcher/state_purchase_view/18785339" TargetMode="External"/>
  <ns0:Relationship Id="rId1637" Type="http://schemas.openxmlformats.org/officeDocument/2006/relationships/hyperlink" Target="https://my.zakupki.prom.ua/remote/dispatcher/state_contracting_view/5254668" TargetMode="External"/>
  <ns0:Relationship Id="rId1638" Type="http://schemas.openxmlformats.org/officeDocument/2006/relationships/hyperlink" Target="https://my.zakupki.prom.ua/remote/dispatcher/state_purchase_view/18787327" TargetMode="External"/>
  <ns0:Relationship Id="rId1639" Type="http://schemas.openxmlformats.org/officeDocument/2006/relationships/hyperlink" Target="https://my.zakupki.prom.ua/remote/dispatcher/state_contracting_view/5255435" TargetMode="External"/>
  <ns0:Relationship Id="rId1640" Type="http://schemas.openxmlformats.org/officeDocument/2006/relationships/hyperlink" Target="https://my.zakupki.prom.ua/remote/dispatcher/state_purchase_view/18738456" TargetMode="External"/>
  <ns0:Relationship Id="rId1641" Type="http://schemas.openxmlformats.org/officeDocument/2006/relationships/hyperlink" Target="https://my.zakupki.prom.ua/remote/dispatcher/state_contracting_view/5268048" TargetMode="External"/>
  <ns0:Relationship Id="rId1642" Type="http://schemas.openxmlformats.org/officeDocument/2006/relationships/hyperlink" Target="https://my.zakupki.prom.ua/remote/dispatcher/state_purchase_view/18094452" TargetMode="External"/>
  <ns0:Relationship Id="rId1643" Type="http://schemas.openxmlformats.org/officeDocument/2006/relationships/hyperlink" Target="https://my.zakupki.prom.ua/remote/dispatcher/state_contracting_view/4930444" TargetMode="External"/>
  <ns0:Relationship Id="rId1644" Type="http://schemas.openxmlformats.org/officeDocument/2006/relationships/hyperlink" Target="https://my.zakupki.prom.ua/remote/dispatcher/state_purchase_view/18121483" TargetMode="External"/>
  <ns0:Relationship Id="rId1645" Type="http://schemas.openxmlformats.org/officeDocument/2006/relationships/hyperlink" Target="https://my.zakupki.prom.ua/remote/dispatcher/state_contracting_view/4942948" TargetMode="External"/>
  <ns0:Relationship Id="rId1646" Type="http://schemas.openxmlformats.org/officeDocument/2006/relationships/hyperlink" Target="https://my.zakupki.prom.ua/remote/dispatcher/state_purchase_view/18486564" TargetMode="External"/>
  <ns0:Relationship Id="rId1647" Type="http://schemas.openxmlformats.org/officeDocument/2006/relationships/hyperlink" Target="https://my.zakupki.prom.ua/remote/dispatcher/state_contracting_view/5112481" TargetMode="External"/>
  <ns0:Relationship Id="rId1648" Type="http://schemas.openxmlformats.org/officeDocument/2006/relationships/hyperlink" Target="https://my.zakupki.prom.ua/remote/dispatcher/state_purchase_view/19020866" TargetMode="External"/>
  <ns0:Relationship Id="rId1649" Type="http://schemas.openxmlformats.org/officeDocument/2006/relationships/hyperlink" Target="https://my.zakupki.prom.ua/remote/dispatcher/state_contracting_view/5368381" TargetMode="External"/>
  <ns0:Relationship Id="rId1650" Type="http://schemas.openxmlformats.org/officeDocument/2006/relationships/hyperlink" Target="https://my.zakupki.prom.ua/remote/dispatcher/state_purchase_view/18847566" TargetMode="External"/>
  <ns0:Relationship Id="rId1651" Type="http://schemas.openxmlformats.org/officeDocument/2006/relationships/hyperlink" Target="https://my.zakupki.prom.ua/remote/dispatcher/state_contracting_view/5284971" TargetMode="External"/>
  <ns0:Relationship Id="rId1652" Type="http://schemas.openxmlformats.org/officeDocument/2006/relationships/hyperlink" Target="https://my.zakupki.prom.ua/remote/dispatcher/state_purchase_view/18455252" TargetMode="External"/>
  <ns0:Relationship Id="rId1653" Type="http://schemas.openxmlformats.org/officeDocument/2006/relationships/hyperlink" Target="https://my.zakupki.prom.ua/remote/dispatcher/state_contracting_view/5153625" TargetMode="External"/>
  <ns0:Relationship Id="rId1654" Type="http://schemas.openxmlformats.org/officeDocument/2006/relationships/hyperlink" Target="https://my.zakupki.prom.ua/remote/dispatcher/state_purchase_view/18649258" TargetMode="External"/>
  <ns0:Relationship Id="rId1655" Type="http://schemas.openxmlformats.org/officeDocument/2006/relationships/hyperlink" Target="https://my.zakupki.prom.ua/remote/dispatcher/state_contracting_view/5188689" TargetMode="External"/>
  <ns0:Relationship Id="rId1656" Type="http://schemas.openxmlformats.org/officeDocument/2006/relationships/hyperlink" Target="https://my.zakupki.prom.ua/remote/dispatcher/state_purchase_view/16407644" TargetMode="External"/>
  <ns0:Relationship Id="rId1657" Type="http://schemas.openxmlformats.org/officeDocument/2006/relationships/hyperlink" Target="https://my.zakupki.prom.ua/remote/dispatcher/state_contracting_view/4159270" TargetMode="External"/>
  <ns0:Relationship Id="rId1658" Type="http://schemas.openxmlformats.org/officeDocument/2006/relationships/hyperlink" Target="https://my.zakupki.prom.ua/remote/dispatcher/state_purchase_view/17091724" TargetMode="External"/>
  <ns0:Relationship Id="rId1659" Type="http://schemas.openxmlformats.org/officeDocument/2006/relationships/hyperlink" Target="https://my.zakupki.prom.ua/remote/dispatcher/state_contracting_view/4464755" TargetMode="External"/>
  <ns0:Relationship Id="rId1660" Type="http://schemas.openxmlformats.org/officeDocument/2006/relationships/hyperlink" Target="https://my.zakupki.prom.ua/remote/dispatcher/state_purchase_view/16597049" TargetMode="External"/>
  <ns0:Relationship Id="rId1661" Type="http://schemas.openxmlformats.org/officeDocument/2006/relationships/hyperlink" Target="https://my.zakupki.prom.ua/remote/dispatcher/state_contracting_view/4243762" TargetMode="External"/>
  <ns0:Relationship Id="rId1662" Type="http://schemas.openxmlformats.org/officeDocument/2006/relationships/hyperlink" Target="https://my.zakupki.prom.ua/remote/dispatcher/state_purchase_view/19244586" TargetMode="External"/>
  <ns0:Relationship Id="rId1663" Type="http://schemas.openxmlformats.org/officeDocument/2006/relationships/hyperlink" Target="https://my.zakupki.prom.ua/remote/dispatcher/state_contracting_view/5472056" TargetMode="External"/>
  <ns0:Relationship Id="rId1664" Type="http://schemas.openxmlformats.org/officeDocument/2006/relationships/hyperlink" Target="https://my.zakupki.prom.ua/remote/dispatcher/state_purchase_view/19772205" TargetMode="External"/>
  <ns0:Relationship Id="rId1665" Type="http://schemas.openxmlformats.org/officeDocument/2006/relationships/hyperlink" Target="https://my.zakupki.prom.ua/remote/dispatcher/state_contracting_view/5792413" TargetMode="External"/>
  <ns0:Relationship Id="rId1666" Type="http://schemas.openxmlformats.org/officeDocument/2006/relationships/hyperlink" Target="https://my.zakupki.prom.ua/remote/dispatcher/state_purchase_view/19938108" TargetMode="External"/>
  <ns0:Relationship Id="rId1667" Type="http://schemas.openxmlformats.org/officeDocument/2006/relationships/hyperlink" Target="https://my.zakupki.prom.ua/remote/dispatcher/state_contracting_view/5798693" TargetMode="External"/>
  <ns0:Relationship Id="rId1668" Type="http://schemas.openxmlformats.org/officeDocument/2006/relationships/hyperlink" Target="https://my.zakupki.prom.ua/remote/dispatcher/state_purchase_view/19659081" TargetMode="External"/>
  <ns0:Relationship Id="rId1669" Type="http://schemas.openxmlformats.org/officeDocument/2006/relationships/hyperlink" Target="https://my.zakupki.prom.ua/remote/dispatcher/state_contracting_view/5668732" TargetMode="External"/>
  <ns0:Relationship Id="rId1670" Type="http://schemas.openxmlformats.org/officeDocument/2006/relationships/hyperlink" Target="https://my.zakupki.prom.ua/remote/dispatcher/state_purchase_view/19869116" TargetMode="External"/>
  <ns0:Relationship Id="rId1671" Type="http://schemas.openxmlformats.org/officeDocument/2006/relationships/hyperlink" Target="https://my.zakupki.prom.ua/remote/dispatcher/state_contracting_view/5766535" TargetMode="External"/>
  <ns0:Relationship Id="rId1672" Type="http://schemas.openxmlformats.org/officeDocument/2006/relationships/hyperlink" Target="https://my.zakupki.prom.ua/remote/dispatcher/state_purchase_view/20209743" TargetMode="External"/>
  <ns0:Relationship Id="rId1673" Type="http://schemas.openxmlformats.org/officeDocument/2006/relationships/hyperlink" Target="https://my.zakupki.prom.ua/remote/dispatcher/state_contracting_view/5927487" TargetMode="External"/>
  <ns0:Relationship Id="rId1674" Type="http://schemas.openxmlformats.org/officeDocument/2006/relationships/hyperlink" Target="https://my.zakupki.prom.ua/remote/dispatcher/state_purchase_view/20018931" TargetMode="External"/>
  <ns0:Relationship Id="rId1675" Type="http://schemas.openxmlformats.org/officeDocument/2006/relationships/hyperlink" Target="https://my.zakupki.prom.ua/remote/dispatcher/state_contracting_view/5836286" TargetMode="External"/>
  <ns0:Relationship Id="rId1676" Type="http://schemas.openxmlformats.org/officeDocument/2006/relationships/hyperlink" Target="https://my.zakupki.prom.ua/remote/dispatcher/state_purchase_view/19831967" TargetMode="External"/>
  <ns0:Relationship Id="rId1677" Type="http://schemas.openxmlformats.org/officeDocument/2006/relationships/hyperlink" Target="https://my.zakupki.prom.ua/remote/dispatcher/state_contracting_view/5750721" TargetMode="External"/>
  <ns0:Relationship Id="rId1678" Type="http://schemas.openxmlformats.org/officeDocument/2006/relationships/hyperlink" Target="https://my.zakupki.prom.ua/remote/dispatcher/state_purchase_view/17452751" TargetMode="External"/>
  <ns0:Relationship Id="rId1679" Type="http://schemas.openxmlformats.org/officeDocument/2006/relationships/hyperlink" Target="https://my.zakupki.prom.ua/remote/dispatcher/state_contracting_view/4630913" TargetMode="External"/>
  <ns0:Relationship Id="rId1680" Type="http://schemas.openxmlformats.org/officeDocument/2006/relationships/hyperlink" Target="https://my.zakupki.prom.ua/remote/dispatcher/state_purchase_view/17971696" TargetMode="External"/>
  <ns0:Relationship Id="rId1681" Type="http://schemas.openxmlformats.org/officeDocument/2006/relationships/hyperlink" Target="https://my.zakupki.prom.ua/remote/dispatcher/state_contracting_view/4872065" TargetMode="External"/>
  <ns0:Relationship Id="rId1682" Type="http://schemas.openxmlformats.org/officeDocument/2006/relationships/hyperlink" Target="https://my.zakupki.prom.ua/remote/dispatcher/state_purchase_view/18202409" TargetMode="External"/>
  <ns0:Relationship Id="rId1683" Type="http://schemas.openxmlformats.org/officeDocument/2006/relationships/hyperlink" Target="https://my.zakupki.prom.ua/remote/dispatcher/state_contracting_view/4981095" TargetMode="External"/>
  <ns0:Relationship Id="rId1684" Type="http://schemas.openxmlformats.org/officeDocument/2006/relationships/hyperlink" Target="https://my.zakupki.prom.ua/remote/dispatcher/state_purchase_view/17912772" TargetMode="External"/>
  <ns0:Relationship Id="rId1685" Type="http://schemas.openxmlformats.org/officeDocument/2006/relationships/hyperlink" Target="https://my.zakupki.prom.ua/remote/dispatcher/state_contracting_view/4844557" TargetMode="External"/>
  <ns0:Relationship Id="rId1686" Type="http://schemas.openxmlformats.org/officeDocument/2006/relationships/hyperlink" Target="https://my.zakupki.prom.ua/remote/dispatcher/state_purchase_view/18184875" TargetMode="External"/>
  <ns0:Relationship Id="rId1687" Type="http://schemas.openxmlformats.org/officeDocument/2006/relationships/hyperlink" Target="https://my.zakupki.prom.ua/remote/dispatcher/state_contracting_view/4972981" TargetMode="External"/>
  <ns0:Relationship Id="rId1688" Type="http://schemas.openxmlformats.org/officeDocument/2006/relationships/hyperlink" Target="https://my.zakupki.prom.ua/remote/dispatcher/state_purchase_view/18426418" TargetMode="External"/>
  <ns0:Relationship Id="rId1689" Type="http://schemas.openxmlformats.org/officeDocument/2006/relationships/hyperlink" Target="https://my.zakupki.prom.ua/remote/dispatcher/state_contracting_view/5083872" TargetMode="External"/>
  <ns0:Relationship Id="rId1690" Type="http://schemas.openxmlformats.org/officeDocument/2006/relationships/hyperlink" Target="https://my.zakupki.prom.ua/remote/dispatcher/state_purchase_view/18124131" TargetMode="External"/>
  <ns0:Relationship Id="rId1691" Type="http://schemas.openxmlformats.org/officeDocument/2006/relationships/hyperlink" Target="https://my.zakupki.prom.ua/remote/dispatcher/state_contracting_view/4944257" TargetMode="External"/>
  <ns0:Relationship Id="rId1692" Type="http://schemas.openxmlformats.org/officeDocument/2006/relationships/hyperlink" Target="https://my.zakupki.prom.ua/remote/dispatcher/state_purchase_view/17755840" TargetMode="External"/>
  <ns0:Relationship Id="rId1693" Type="http://schemas.openxmlformats.org/officeDocument/2006/relationships/hyperlink" Target="https://my.zakupki.prom.ua/remote/dispatcher/state_contracting_view/4772486" TargetMode="External"/>
  <ns0:Relationship Id="rId1694" Type="http://schemas.openxmlformats.org/officeDocument/2006/relationships/hyperlink" Target="https://my.zakupki.prom.ua/remote/dispatcher/state_purchase_view/17778087" TargetMode="External"/>
  <ns0:Relationship Id="rId1695" Type="http://schemas.openxmlformats.org/officeDocument/2006/relationships/hyperlink" Target="https://my.zakupki.prom.ua/remote/dispatcher/state_contracting_view/4782198" TargetMode="External"/>
  <ns0:Relationship Id="rId1696" Type="http://schemas.openxmlformats.org/officeDocument/2006/relationships/hyperlink" Target="https://my.zakupki.prom.ua/remote/dispatcher/state_purchase_view/17236465" TargetMode="External"/>
  <ns0:Relationship Id="rId1697" Type="http://schemas.openxmlformats.org/officeDocument/2006/relationships/hyperlink" Target="https://my.zakupki.prom.ua/remote/dispatcher/state_contracting_view/4531111" TargetMode="External"/>
  <ns0:Relationship Id="rId1698" Type="http://schemas.openxmlformats.org/officeDocument/2006/relationships/hyperlink" Target="https://my.zakupki.prom.ua/remote/dispatcher/state_purchase_view/17451956" TargetMode="External"/>
  <ns0:Relationship Id="rId1699" Type="http://schemas.openxmlformats.org/officeDocument/2006/relationships/hyperlink" Target="https://my.zakupki.prom.ua/remote/dispatcher/state_contracting_view/4630626" TargetMode="External"/>
  <ns0:Relationship Id="rId1700" Type="http://schemas.openxmlformats.org/officeDocument/2006/relationships/hyperlink" Target="https://my.zakupki.prom.ua/remote/dispatcher/state_purchase_view/17353995" TargetMode="External"/>
  <ns0:Relationship Id="rId1701" Type="http://schemas.openxmlformats.org/officeDocument/2006/relationships/hyperlink" Target="https://my.zakupki.prom.ua/remote/dispatcher/state_contracting_view/4585437" TargetMode="External"/>
  <ns0:Relationship Id="rId1702" Type="http://schemas.openxmlformats.org/officeDocument/2006/relationships/hyperlink" Target="https://my.zakupki.prom.ua/remote/dispatcher/state_purchase_view/17317723" TargetMode="External"/>
  <ns0:Relationship Id="rId1703" Type="http://schemas.openxmlformats.org/officeDocument/2006/relationships/hyperlink" Target="https://my.zakupki.prom.ua/remote/dispatcher/state_contracting_view/4568438" TargetMode="External"/>
  <ns0:Relationship Id="rId1704" Type="http://schemas.openxmlformats.org/officeDocument/2006/relationships/hyperlink" Target="https://my.zakupki.prom.ua/remote/dispatcher/state_purchase_view/17564824" TargetMode="External"/>
  <ns0:Relationship Id="rId1705" Type="http://schemas.openxmlformats.org/officeDocument/2006/relationships/hyperlink" Target="https://my.zakupki.prom.ua/remote/dispatcher/state_contracting_view/4685310" TargetMode="External"/>
  <ns0:Relationship Id="rId1706" Type="http://schemas.openxmlformats.org/officeDocument/2006/relationships/hyperlink" Target="https://my.zakupki.prom.ua/remote/dispatcher/state_purchase_view/19204251" TargetMode="External"/>
  <ns0:Relationship Id="rId1707" Type="http://schemas.openxmlformats.org/officeDocument/2006/relationships/hyperlink" Target="https://my.zakupki.prom.ua/remote/dispatcher/state_contracting_view/5452444" TargetMode="External"/>
  <ns0:Relationship Id="rId1708" Type="http://schemas.openxmlformats.org/officeDocument/2006/relationships/hyperlink" Target="https://my.zakupki.prom.ua/remote/dispatcher/state_purchase_view/19508122" TargetMode="External"/>
  <ns0:Relationship Id="rId1709" Type="http://schemas.openxmlformats.org/officeDocument/2006/relationships/hyperlink" Target="https://my.zakupki.prom.ua/remote/dispatcher/state_contracting_view/5596477" TargetMode="External"/>
  <ns0:Relationship Id="rId1710" Type="http://schemas.openxmlformats.org/officeDocument/2006/relationships/hyperlink" Target="https://my.zakupki.prom.ua/remote/dispatcher/state_purchase_view/19507749" TargetMode="External"/>
  <ns0:Relationship Id="rId1711" Type="http://schemas.openxmlformats.org/officeDocument/2006/relationships/hyperlink" Target="https://my.zakupki.prom.ua/remote/dispatcher/state_contracting_view/5596275" TargetMode="External"/>
  <ns0:Relationship Id="rId1712" Type="http://schemas.openxmlformats.org/officeDocument/2006/relationships/hyperlink" Target="https://my.zakupki.prom.ua/remote/dispatcher/state_purchase_view/19360991" TargetMode="External"/>
  <ns0:Relationship Id="rId1713" Type="http://schemas.openxmlformats.org/officeDocument/2006/relationships/hyperlink" Target="https://my.zakupki.prom.ua/remote/dispatcher/state_contracting_view/5527400" TargetMode="External"/>
  <ns0:Relationship Id="rId1714" Type="http://schemas.openxmlformats.org/officeDocument/2006/relationships/hyperlink" Target="https://my.zakupki.prom.ua/remote/dispatcher/state_purchase_view/19342162" TargetMode="External"/>
  <ns0:Relationship Id="rId1715" Type="http://schemas.openxmlformats.org/officeDocument/2006/relationships/hyperlink" Target="https://my.zakupki.prom.ua/remote/dispatcher/state_contracting_view/5518268" TargetMode="External"/>
  <ns0:Relationship Id="rId1716" Type="http://schemas.openxmlformats.org/officeDocument/2006/relationships/hyperlink" Target="https://my.zakupki.prom.ua/remote/dispatcher/state_purchase_view/19113339" TargetMode="External"/>
  <ns0:Relationship Id="rId1717" Type="http://schemas.openxmlformats.org/officeDocument/2006/relationships/hyperlink" Target="https://my.zakupki.prom.ua/remote/dispatcher/state_contracting_view/5410094" TargetMode="External"/>
  <ns0:Relationship Id="rId1718" Type="http://schemas.openxmlformats.org/officeDocument/2006/relationships/hyperlink" Target="https://my.zakupki.prom.ua/remote/dispatcher/state_purchase_view/19440063" TargetMode="External"/>
  <ns0:Relationship Id="rId1719" Type="http://schemas.openxmlformats.org/officeDocument/2006/relationships/hyperlink" Target="https://my.zakupki.prom.ua/remote/dispatcher/state_contracting_view/5564181" TargetMode="External"/>
  <ns0:Relationship Id="rId1720" Type="http://schemas.openxmlformats.org/officeDocument/2006/relationships/hyperlink" Target="https://my.zakupki.prom.ua/remote/dispatcher/state_purchase_view/19428227" TargetMode="External"/>
  <ns0:Relationship Id="rId1721" Type="http://schemas.openxmlformats.org/officeDocument/2006/relationships/hyperlink" Target="https://my.zakupki.prom.ua/remote/dispatcher/state_contracting_view/5559235" TargetMode="External"/>
  <ns0:Relationship Id="rId1722" Type="http://schemas.openxmlformats.org/officeDocument/2006/relationships/hyperlink" Target="https://my.zakupki.prom.ua/remote/dispatcher/state_purchase_view/18984720" TargetMode="External"/>
  <ns0:Relationship Id="rId1723" Type="http://schemas.openxmlformats.org/officeDocument/2006/relationships/hyperlink" Target="https://my.zakupki.prom.ua/remote/dispatcher/state_contracting_view/5348598" TargetMode="External"/>
  <ns0:Relationship Id="rId1724" Type="http://schemas.openxmlformats.org/officeDocument/2006/relationships/hyperlink" Target="https://my.zakupki.prom.ua/remote/dispatcher/state_purchase_view/20576701" TargetMode="External"/>
  <ns0:Relationship Id="rId1725" Type="http://schemas.openxmlformats.org/officeDocument/2006/relationships/hyperlink" Target="https://my.zakupki.prom.ua/remote/dispatcher/state_contracting_view/6107704" TargetMode="External"/>
  <ns0:Relationship Id="rId1726" Type="http://schemas.openxmlformats.org/officeDocument/2006/relationships/hyperlink" Target="https://my.zakupki.prom.ua/remote/dispatcher/state_purchase_view/20985969" TargetMode="External"/>
  <ns0:Relationship Id="rId1727" Type="http://schemas.openxmlformats.org/officeDocument/2006/relationships/hyperlink" Target="https://my.zakupki.prom.ua/remote/dispatcher/state_contracting_view/6301405" TargetMode="External"/>
  <ns0:Relationship Id="rId1728" Type="http://schemas.openxmlformats.org/officeDocument/2006/relationships/hyperlink" Target="https://my.zakupki.prom.ua/remote/dispatcher/state_purchase_view/20826248" TargetMode="External"/>
  <ns0:Relationship Id="rId1729" Type="http://schemas.openxmlformats.org/officeDocument/2006/relationships/hyperlink" Target="https://my.zakupki.prom.ua/remote/dispatcher/state_contracting_view/6225192" TargetMode="External"/>
  <ns0:Relationship Id="rId1730" Type="http://schemas.openxmlformats.org/officeDocument/2006/relationships/hyperlink" Target="https://my.zakupki.prom.ua/remote/dispatcher/state_purchase_view/20829904" TargetMode="External"/>
  <ns0:Relationship Id="rId1731" Type="http://schemas.openxmlformats.org/officeDocument/2006/relationships/hyperlink" Target="https://my.zakupki.prom.ua/remote/dispatcher/state_contracting_view/6226445" TargetMode="External"/>
  <ns0:Relationship Id="rId1732" Type="http://schemas.openxmlformats.org/officeDocument/2006/relationships/hyperlink" Target="https://my.zakupki.prom.ua/remote/dispatcher/state_purchase_view/20880661" TargetMode="External"/>
  <ns0:Relationship Id="rId1733" Type="http://schemas.openxmlformats.org/officeDocument/2006/relationships/hyperlink" Target="https://my.zakupki.prom.ua/remote/dispatcher/state_contracting_view/6251184" TargetMode="External"/>
  <ns0:Relationship Id="rId1734" Type="http://schemas.openxmlformats.org/officeDocument/2006/relationships/hyperlink" Target="https://my.zakupki.prom.ua/remote/dispatcher/state_purchase_view/20879200" TargetMode="External"/>
  <ns0:Relationship Id="rId1735" Type="http://schemas.openxmlformats.org/officeDocument/2006/relationships/hyperlink" Target="https://my.zakupki.prom.ua/remote/dispatcher/state_contracting_view/6250597" TargetMode="External"/>
  <ns0:Relationship Id="rId1736" Type="http://schemas.openxmlformats.org/officeDocument/2006/relationships/hyperlink" Target="https://my.zakupki.prom.ua/remote/dispatcher/state_purchase_view/20736042" TargetMode="External"/>
  <ns0:Relationship Id="rId1737" Type="http://schemas.openxmlformats.org/officeDocument/2006/relationships/hyperlink" Target="https://my.zakupki.prom.ua/remote/dispatcher/state_contracting_view/6182022" TargetMode="External"/>
  <ns0:Relationship Id="rId1738" Type="http://schemas.openxmlformats.org/officeDocument/2006/relationships/hyperlink" Target="https://my.zakupki.prom.ua/remote/dispatcher/state_purchase_view/20278844" TargetMode="External"/>
  <ns0:Relationship Id="rId1739" Type="http://schemas.openxmlformats.org/officeDocument/2006/relationships/hyperlink" Target="https://my.zakupki.prom.ua/remote/dispatcher/state_contracting_view/5960480" TargetMode="External"/>
  <ns0:Relationship Id="rId1740" Type="http://schemas.openxmlformats.org/officeDocument/2006/relationships/hyperlink" Target="https://my.zakupki.prom.ua/remote/dispatcher/state_purchase_view/20279242" TargetMode="External"/>
  <ns0:Relationship Id="rId1741" Type="http://schemas.openxmlformats.org/officeDocument/2006/relationships/hyperlink" Target="https://my.zakupki.prom.ua/remote/dispatcher/state_contracting_view/5960693" TargetMode="External"/>
  <ns0:Relationship Id="rId1742" Type="http://schemas.openxmlformats.org/officeDocument/2006/relationships/hyperlink" Target="https://my.zakupki.prom.ua/remote/dispatcher/state_purchase_view/20596691" TargetMode="External"/>
  <ns0:Relationship Id="rId1743" Type="http://schemas.openxmlformats.org/officeDocument/2006/relationships/hyperlink" Target="https://my.zakupki.prom.ua/remote/dispatcher/state_contracting_view/6117124" TargetMode="External"/>
  <ns0:Relationship Id="rId1744" Type="http://schemas.openxmlformats.org/officeDocument/2006/relationships/hyperlink" Target="https://my.zakupki.prom.ua/remote/dispatcher/state_purchase_view/20071352" TargetMode="External"/>
  <ns0:Relationship Id="rId1745" Type="http://schemas.openxmlformats.org/officeDocument/2006/relationships/hyperlink" Target="https://my.zakupki.prom.ua/remote/dispatcher/state_contracting_view/5861910" TargetMode="External"/>
  <ns0:Relationship Id="rId1746" Type="http://schemas.openxmlformats.org/officeDocument/2006/relationships/hyperlink" Target="https://my.zakupki.prom.ua/remote/dispatcher/state_purchase_view/17594032" TargetMode="External"/>
  <ns0:Relationship Id="rId1747" Type="http://schemas.openxmlformats.org/officeDocument/2006/relationships/hyperlink" Target="https://my.zakupki.prom.ua/remote/dispatcher/state_contracting_view/4697088" TargetMode="External"/>
  <ns0:Relationship Id="rId1748" Type="http://schemas.openxmlformats.org/officeDocument/2006/relationships/hyperlink" Target="https://my.zakupki.prom.ua/remote/dispatcher/state_purchase_view/17690077" TargetMode="External"/>
  <ns0:Relationship Id="rId1749" Type="http://schemas.openxmlformats.org/officeDocument/2006/relationships/hyperlink" Target="https://my.zakupki.prom.ua/remote/dispatcher/state_contracting_view/4741358" TargetMode="External"/>
  <ns0:Relationship Id="rId1750" Type="http://schemas.openxmlformats.org/officeDocument/2006/relationships/hyperlink" Target="https://my.zakupki.prom.ua/remote/dispatcher/state_purchase_view/17789101" TargetMode="External"/>
  <ns0:Relationship Id="rId1751" Type="http://schemas.openxmlformats.org/officeDocument/2006/relationships/hyperlink" Target="https://my.zakupki.prom.ua/remote/dispatcher/state_contracting_view/4787236" TargetMode="External"/>
  <ns0:Relationship Id="rId1752" Type="http://schemas.openxmlformats.org/officeDocument/2006/relationships/hyperlink" Target="https://my.zakupki.prom.ua/remote/dispatcher/state_purchase_view/17836297" TargetMode="External"/>
  <ns0:Relationship Id="rId1753" Type="http://schemas.openxmlformats.org/officeDocument/2006/relationships/hyperlink" Target="https://my.zakupki.prom.ua/remote/dispatcher/state_contracting_view/4809427" TargetMode="External"/>
  <ns0:Relationship Id="rId1754" Type="http://schemas.openxmlformats.org/officeDocument/2006/relationships/hyperlink" Target="https://my.zakupki.prom.ua/remote/dispatcher/state_purchase_view/17223057" TargetMode="External"/>
  <ns0:Relationship Id="rId1755" Type="http://schemas.openxmlformats.org/officeDocument/2006/relationships/hyperlink" Target="https://my.zakupki.prom.ua/remote/dispatcher/state_contracting_view/4525264" TargetMode="External"/>
  <ns0:Relationship Id="rId1756" Type="http://schemas.openxmlformats.org/officeDocument/2006/relationships/hyperlink" Target="https://my.zakupki.prom.ua/remote/dispatcher/state_purchase_view/17228420" TargetMode="External"/>
  <ns0:Relationship Id="rId1757" Type="http://schemas.openxmlformats.org/officeDocument/2006/relationships/hyperlink" Target="https://my.zakupki.prom.ua/remote/dispatcher/state_contracting_view/4527559" TargetMode="External"/>
  <ns0:Relationship Id="rId1758" Type="http://schemas.openxmlformats.org/officeDocument/2006/relationships/hyperlink" Target="https://my.zakupki.prom.ua/remote/dispatcher/state_purchase_view/17126853" TargetMode="External"/>
  <ns0:Relationship Id="rId1759" Type="http://schemas.openxmlformats.org/officeDocument/2006/relationships/hyperlink" Target="https://my.zakupki.prom.ua/remote/dispatcher/state_contracting_view/4481112" TargetMode="External"/>
  <ns0:Relationship Id="rId1760" Type="http://schemas.openxmlformats.org/officeDocument/2006/relationships/hyperlink" Target="https://my.zakupki.prom.ua/remote/dispatcher/state_purchase_view/17575911" TargetMode="External"/>
  <ns0:Relationship Id="rId1761" Type="http://schemas.openxmlformats.org/officeDocument/2006/relationships/hyperlink" Target="https://my.zakupki.prom.ua/remote/dispatcher/state_contracting_view/4688607" TargetMode="External"/>
  <ns0:Relationship Id="rId1762" Type="http://schemas.openxmlformats.org/officeDocument/2006/relationships/hyperlink" Target="https://my.zakupki.prom.ua/remote/dispatcher/state_purchase_view/18028569" TargetMode="External"/>
  <ns0:Relationship Id="rId1763" Type="http://schemas.openxmlformats.org/officeDocument/2006/relationships/hyperlink" Target="https://my.zakupki.prom.ua/remote/dispatcher/state_contracting_view/4899252" TargetMode="External"/>
  <ns0:Relationship Id="rId1764" Type="http://schemas.openxmlformats.org/officeDocument/2006/relationships/hyperlink" Target="https://my.zakupki.prom.ua/remote/dispatcher/state_purchase_view/17884304" TargetMode="External"/>
  <ns0:Relationship Id="rId1765" Type="http://schemas.openxmlformats.org/officeDocument/2006/relationships/hyperlink" Target="https://my.zakupki.prom.ua/remote/dispatcher/state_contracting_view/4831579" TargetMode="External"/>
  <ns0:Relationship Id="rId1766" Type="http://schemas.openxmlformats.org/officeDocument/2006/relationships/hyperlink" Target="https://my.zakupki.prom.ua/remote/dispatcher/state_purchase_view/17859023" TargetMode="External"/>
  <ns0:Relationship Id="rId1767" Type="http://schemas.openxmlformats.org/officeDocument/2006/relationships/hyperlink" Target="https://my.zakupki.prom.ua/remote/dispatcher/state_contracting_view/4820219" TargetMode="External"/>
  <ns0:Relationship Id="rId1768" Type="http://schemas.openxmlformats.org/officeDocument/2006/relationships/hyperlink" Target="https://my.zakupki.prom.ua/remote/dispatcher/state_purchase_view/17774365" TargetMode="External"/>
  <ns0:Relationship Id="rId1769" Type="http://schemas.openxmlformats.org/officeDocument/2006/relationships/hyperlink" Target="https://my.zakupki.prom.ua/remote/dispatcher/state_contracting_view/4780730" TargetMode="External"/>
  <ns0:Relationship Id="rId1770" Type="http://schemas.openxmlformats.org/officeDocument/2006/relationships/hyperlink" Target="https://my.zakupki.prom.ua/remote/dispatcher/state_purchase_view/21295166" TargetMode="External"/>
  <ns0:Relationship Id="rId1771" Type="http://schemas.openxmlformats.org/officeDocument/2006/relationships/hyperlink" Target="https://my.zakupki.prom.ua/remote/dispatcher/state_contracting_view/6445000" TargetMode="External"/>
  <ns0:Relationship Id="rId1772" Type="http://schemas.openxmlformats.org/officeDocument/2006/relationships/hyperlink" Target="https://my.zakupki.prom.ua/remote/dispatcher/state_purchase_view/18614149" TargetMode="External"/>
  <ns0:Relationship Id="rId1773" Type="http://schemas.openxmlformats.org/officeDocument/2006/relationships/hyperlink" Target="https://my.zakupki.prom.ua/remote/dispatcher/state_contracting_view/5235618" TargetMode="External"/>
  <ns0:Relationship Id="rId1774" Type="http://schemas.openxmlformats.org/officeDocument/2006/relationships/hyperlink" Target="https://my.zakupki.prom.ua/remote/dispatcher/state_purchase_view/18903450" TargetMode="External"/>
  <ns0:Relationship Id="rId1775" Type="http://schemas.openxmlformats.org/officeDocument/2006/relationships/hyperlink" Target="https://my.zakupki.prom.ua/remote/dispatcher/state_contracting_view/5315825" TargetMode="External"/>
  <ns0:Relationship Id="rId1776" Type="http://schemas.openxmlformats.org/officeDocument/2006/relationships/hyperlink" Target="https://my.zakupki.prom.ua/remote/dispatcher/state_purchase_view/18936951" TargetMode="External"/>
  <ns0:Relationship Id="rId1777" Type="http://schemas.openxmlformats.org/officeDocument/2006/relationships/hyperlink" Target="https://my.zakupki.prom.ua/remote/dispatcher/state_contracting_view/5325835" TargetMode="External"/>
  <ns0:Relationship Id="rId1778" Type="http://schemas.openxmlformats.org/officeDocument/2006/relationships/hyperlink" Target="https://my.zakupki.prom.ua/remote/dispatcher/state_purchase_view/20877707" TargetMode="External"/>
  <ns0:Relationship Id="rId1779" Type="http://schemas.openxmlformats.org/officeDocument/2006/relationships/hyperlink" Target="https://my.zakupki.prom.ua/remote/dispatcher/state_contracting_view/6249792" TargetMode="External"/>
  <ns0:Relationship Id="rId1780" Type="http://schemas.openxmlformats.org/officeDocument/2006/relationships/hyperlink" Target="https://my.zakupki.prom.ua/remote/dispatcher/state_purchase_view/20876298" TargetMode="External"/>
  <ns0:Relationship Id="rId1781" Type="http://schemas.openxmlformats.org/officeDocument/2006/relationships/hyperlink" Target="https://my.zakupki.prom.ua/remote/dispatcher/state_contracting_view/6249193" TargetMode="External"/>
  <ns0:Relationship Id="rId1782" Type="http://schemas.openxmlformats.org/officeDocument/2006/relationships/hyperlink" Target="https://my.zakupki.prom.ua/remote/dispatcher/state_purchase_view/20983973" TargetMode="External"/>
  <ns0:Relationship Id="rId1783" Type="http://schemas.openxmlformats.org/officeDocument/2006/relationships/hyperlink" Target="https://my.zakupki.prom.ua/remote/dispatcher/state_contracting_view/6300521" TargetMode="External"/>
  <ns0:Relationship Id="rId1784" Type="http://schemas.openxmlformats.org/officeDocument/2006/relationships/hyperlink" Target="https://my.zakupki.prom.ua/remote/dispatcher/state_purchase_view/21484454" TargetMode="External"/>
  <ns0:Relationship Id="rId1785" Type="http://schemas.openxmlformats.org/officeDocument/2006/relationships/hyperlink" Target="https://my.zakupki.prom.ua/remote/dispatcher/state_contracting_view/6533598" TargetMode="External"/>
  <ns0:Relationship Id="rId1786" Type="http://schemas.openxmlformats.org/officeDocument/2006/relationships/hyperlink" Target="https://my.zakupki.prom.ua/remote/dispatcher/state_purchase_view/21121524" TargetMode="External"/>
  <ns0:Relationship Id="rId1787" Type="http://schemas.openxmlformats.org/officeDocument/2006/relationships/hyperlink" Target="https://my.zakupki.prom.ua/remote/dispatcher/state_contracting_view/6364411" TargetMode="External"/>
  <ns0:Relationship Id="rId1788" Type="http://schemas.openxmlformats.org/officeDocument/2006/relationships/hyperlink" Target="https://my.zakupki.prom.ua/remote/dispatcher/state_purchase_view/21173330" TargetMode="External"/>
  <ns0:Relationship Id="rId1789" Type="http://schemas.openxmlformats.org/officeDocument/2006/relationships/hyperlink" Target="https://my.zakupki.prom.ua/remote/dispatcher/state_contracting_view/6388345" TargetMode="External"/>
  <ns0:Relationship Id="rId1790" Type="http://schemas.openxmlformats.org/officeDocument/2006/relationships/hyperlink" Target="https://my.zakupki.prom.ua/remote/dispatcher/state_purchase_view/17984643" TargetMode="External"/>
  <ns0:Relationship Id="rId1791" Type="http://schemas.openxmlformats.org/officeDocument/2006/relationships/hyperlink" Target="https://my.zakupki.prom.ua/remote/dispatcher/state_contracting_view/4878492" TargetMode="External"/>
  <ns0:Relationship Id="rId1792" Type="http://schemas.openxmlformats.org/officeDocument/2006/relationships/hyperlink" Target="https://my.zakupki.prom.ua/remote/dispatcher/state_purchase_view/18335163" TargetMode="External"/>
  <ns0:Relationship Id="rId1793" Type="http://schemas.openxmlformats.org/officeDocument/2006/relationships/hyperlink" Target="https://my.zakupki.prom.ua/remote/dispatcher/state_contracting_view/5041284" TargetMode="External"/>
  <ns0:Relationship Id="rId1794" Type="http://schemas.openxmlformats.org/officeDocument/2006/relationships/hyperlink" Target="https://my.zakupki.prom.ua/remote/dispatcher/state_purchase_view/18512203" TargetMode="External"/>
  <ns0:Relationship Id="rId1795" Type="http://schemas.openxmlformats.org/officeDocument/2006/relationships/hyperlink" Target="https://my.zakupki.prom.ua/remote/dispatcher/state_contracting_view/5124325" TargetMode="External"/>
  <ns0:Relationship Id="rId1796" Type="http://schemas.openxmlformats.org/officeDocument/2006/relationships/hyperlink" Target="https://my.zakupki.prom.ua/remote/dispatcher/state_purchase_view/18644457" TargetMode="External"/>
  <ns0:Relationship Id="rId1797" Type="http://schemas.openxmlformats.org/officeDocument/2006/relationships/hyperlink" Target="https://my.zakupki.prom.ua/remote/dispatcher/state_contracting_view/5186498" TargetMode="External"/>
  <ns0:Relationship Id="rId1798" Type="http://schemas.openxmlformats.org/officeDocument/2006/relationships/hyperlink" Target="https://my.zakupki.prom.ua/remote/dispatcher/state_purchase_view/18254519" TargetMode="External"/>
  <ns0:Relationship Id="rId1799" Type="http://schemas.openxmlformats.org/officeDocument/2006/relationships/hyperlink" Target="https://my.zakupki.prom.ua/remote/dispatcher/state_contracting_view/5004166" TargetMode="External"/>
  <ns0:Relationship Id="rId1800" Type="http://schemas.openxmlformats.org/officeDocument/2006/relationships/hyperlink" Target="https://my.zakupki.prom.ua/remote/dispatcher/state_purchase_view/18256894" TargetMode="External"/>
  <ns0:Relationship Id="rId1801" Type="http://schemas.openxmlformats.org/officeDocument/2006/relationships/hyperlink" Target="https://my.zakupki.prom.ua/remote/dispatcher/state_contracting_view/5005220" TargetMode="External"/>
  <ns0:Relationship Id="rId1802" Type="http://schemas.openxmlformats.org/officeDocument/2006/relationships/hyperlink" Target="https://my.zakupki.prom.ua/remote/dispatcher/state_purchase_view/18479906" TargetMode="External"/>
  <ns0:Relationship Id="rId1803" Type="http://schemas.openxmlformats.org/officeDocument/2006/relationships/hyperlink" Target="https://my.zakupki.prom.ua/remote/dispatcher/state_contracting_view/5108971" TargetMode="External"/>
  <ns0:Relationship Id="rId1804" Type="http://schemas.openxmlformats.org/officeDocument/2006/relationships/hyperlink" Target="https://my.zakupki.prom.ua/remote/dispatcher/state_purchase_view/18619257" TargetMode="External"/>
  <ns0:Relationship Id="rId1805" Type="http://schemas.openxmlformats.org/officeDocument/2006/relationships/hyperlink" Target="https://my.zakupki.prom.ua/remote/dispatcher/state_contracting_view/5174790" TargetMode="External"/>
  <ns0:Relationship Id="rId1806" Type="http://schemas.openxmlformats.org/officeDocument/2006/relationships/hyperlink" Target="https://my.zakupki.prom.ua/remote/dispatcher/state_purchase_view/18597025" TargetMode="External"/>
  <ns0:Relationship Id="rId1807" Type="http://schemas.openxmlformats.org/officeDocument/2006/relationships/hyperlink" Target="https://my.zakupki.prom.ua/remote/dispatcher/state_contracting_view/5164241" TargetMode="External"/>
  <ns0:Relationship Id="rId1808" Type="http://schemas.openxmlformats.org/officeDocument/2006/relationships/hyperlink" Target="https://my.zakupki.prom.ua/remote/dispatcher/state_purchase_view/19359544" TargetMode="External"/>
  <ns0:Relationship Id="rId1809" Type="http://schemas.openxmlformats.org/officeDocument/2006/relationships/hyperlink" Target="https://my.zakupki.prom.ua/remote/dispatcher/state_contracting_view/5526642" TargetMode="External"/>
  <ns0:Relationship Id="rId1810" Type="http://schemas.openxmlformats.org/officeDocument/2006/relationships/hyperlink" Target="https://my.zakupki.prom.ua/remote/dispatcher/state_purchase_view/19341443" TargetMode="External"/>
  <ns0:Relationship Id="rId1811" Type="http://schemas.openxmlformats.org/officeDocument/2006/relationships/hyperlink" Target="https://my.zakupki.prom.ua/remote/dispatcher/state_contracting_view/5518224" TargetMode="External"/>
  <ns0:Relationship Id="rId1812" Type="http://schemas.openxmlformats.org/officeDocument/2006/relationships/hyperlink" Target="https://my.zakupki.prom.ua/remote/dispatcher/state_purchase_view/19886779" TargetMode="External"/>
  <ns0:Relationship Id="rId1813" Type="http://schemas.openxmlformats.org/officeDocument/2006/relationships/hyperlink" Target="https://my.zakupki.prom.ua/remote/dispatcher/state_contracting_view/5774718" TargetMode="External"/>
  <ns0:Relationship Id="rId1814" Type="http://schemas.openxmlformats.org/officeDocument/2006/relationships/hyperlink" Target="https://my.zakupki.prom.ua/remote/dispatcher/state_purchase_view/19885354" TargetMode="External"/>
  <ns0:Relationship Id="rId1815" Type="http://schemas.openxmlformats.org/officeDocument/2006/relationships/hyperlink" Target="https://my.zakupki.prom.ua/remote/dispatcher/state_contracting_view/5773757" TargetMode="External"/>
  <ns0:Relationship Id="rId1816" Type="http://schemas.openxmlformats.org/officeDocument/2006/relationships/hyperlink" Target="https://my.zakupki.prom.ua/remote/dispatcher/state_purchase_view/20107837" TargetMode="External"/>
  <ns0:Relationship Id="rId1817" Type="http://schemas.openxmlformats.org/officeDocument/2006/relationships/hyperlink" Target="https://my.zakupki.prom.ua/remote/dispatcher/state_contracting_view/5878872" TargetMode="External"/>
  <ns0:Relationship Id="rId1818" Type="http://schemas.openxmlformats.org/officeDocument/2006/relationships/hyperlink" Target="https://my.zakupki.prom.ua/remote/dispatcher/state_purchase_view/20686427" TargetMode="External"/>
  <ns0:Relationship Id="rId1819" Type="http://schemas.openxmlformats.org/officeDocument/2006/relationships/hyperlink" Target="https://my.zakupki.prom.ua/remote/dispatcher/state_contracting_view/6167582" TargetMode="External"/>
  <ns0:Relationship Id="rId1820" Type="http://schemas.openxmlformats.org/officeDocument/2006/relationships/hyperlink" Target="https://my.zakupki.prom.ua/remote/dispatcher/state_purchase_view/20577598" TargetMode="External"/>
  <ns0:Relationship Id="rId1821" Type="http://schemas.openxmlformats.org/officeDocument/2006/relationships/hyperlink" Target="https://my.zakupki.prom.ua/remote/dispatcher/state_contracting_view/6109702" TargetMode="External"/>
  <ns0:Relationship Id="rId1822" Type="http://schemas.openxmlformats.org/officeDocument/2006/relationships/hyperlink" Target="https://my.zakupki.prom.ua/remote/dispatcher/state_purchase_view/20581337" TargetMode="External"/>
  <ns0:Relationship Id="rId1823" Type="http://schemas.openxmlformats.org/officeDocument/2006/relationships/hyperlink" Target="https://my.zakupki.prom.ua/remote/dispatcher/state_contracting_view/6109965" TargetMode="External"/>
  <ns0:Relationship Id="rId1824" Type="http://schemas.openxmlformats.org/officeDocument/2006/relationships/hyperlink" Target="https://my.zakupki.prom.ua/remote/dispatcher/state_purchase_view/20378143" TargetMode="External"/>
  <ns0:Relationship Id="rId1825" Type="http://schemas.openxmlformats.org/officeDocument/2006/relationships/hyperlink" Target="https://my.zakupki.prom.ua/remote/dispatcher/state_contracting_view/6009884" TargetMode="External"/>
  <ns0:Relationship Id="rId1826" Type="http://schemas.openxmlformats.org/officeDocument/2006/relationships/hyperlink" Target="https://my.zakupki.prom.ua/remote/dispatcher/state_purchase_view/20376935" TargetMode="External"/>
  <ns0:Relationship Id="rId1827" Type="http://schemas.openxmlformats.org/officeDocument/2006/relationships/hyperlink" Target="https://my.zakupki.prom.ua/remote/dispatcher/state_contracting_view/6008673" TargetMode="External"/>
  <ns0:Relationship Id="rId1828" Type="http://schemas.openxmlformats.org/officeDocument/2006/relationships/hyperlink" Target="https://my.zakupki.prom.ua/remote/dispatcher/state_purchase_view/19430792" TargetMode="External"/>
  <ns0:Relationship Id="rId1829" Type="http://schemas.openxmlformats.org/officeDocument/2006/relationships/hyperlink" Target="https://my.zakupki.prom.ua/remote/dispatcher/state_contracting_view/5560228" TargetMode="External"/>
  <ns0:Relationship Id="rId1830" Type="http://schemas.openxmlformats.org/officeDocument/2006/relationships/hyperlink" Target="https://my.zakupki.prom.ua/remote/dispatcher/state_purchase_view/19644292" TargetMode="External"/>
  <ns0:Relationship Id="rId1831" Type="http://schemas.openxmlformats.org/officeDocument/2006/relationships/hyperlink" Target="https://my.zakupki.prom.ua/remote/dispatcher/state_contracting_view/5661640" TargetMode="External"/>
  <ns0:Relationship Id="rId1832" Type="http://schemas.openxmlformats.org/officeDocument/2006/relationships/hyperlink" Target="https://my.zakupki.prom.ua/remote/dispatcher/state_purchase_view/18864768" TargetMode="External"/>
  <ns0:Relationship Id="rId1833" Type="http://schemas.openxmlformats.org/officeDocument/2006/relationships/hyperlink" Target="https://my.zakupki.prom.ua/remote/dispatcher/state_contracting_view/5293093" TargetMode="External"/>
  <ns0:Relationship Id="rId1834" Type="http://schemas.openxmlformats.org/officeDocument/2006/relationships/hyperlink" Target="https://my.zakupki.prom.ua/remote/dispatcher/state_purchase_view/18989193" TargetMode="External"/>
  <ns0:Relationship Id="rId1835" Type="http://schemas.openxmlformats.org/officeDocument/2006/relationships/hyperlink" Target="https://my.zakupki.prom.ua/remote/dispatcher/state_contracting_view/5351210" TargetMode="External"/>
  <ns0:Relationship Id="rId1836" Type="http://schemas.openxmlformats.org/officeDocument/2006/relationships/hyperlink" Target="https://my.zakupki.prom.ua/remote/dispatcher/state_purchase_view/19041276" TargetMode="External"/>
  <ns0:Relationship Id="rId1837" Type="http://schemas.openxmlformats.org/officeDocument/2006/relationships/hyperlink" Target="https://my.zakupki.prom.ua/remote/dispatcher/state_contracting_view/5375434" TargetMode="External"/>
  <ns0:Relationship Id="rId1838" Type="http://schemas.openxmlformats.org/officeDocument/2006/relationships/hyperlink" Target="https://my.zakupki.prom.ua/remote/dispatcher/state_purchase_view/18587176" TargetMode="External"/>
  <ns0:Relationship Id="rId1839" Type="http://schemas.openxmlformats.org/officeDocument/2006/relationships/hyperlink" Target="https://my.zakupki.prom.ua/remote/dispatcher/state_contracting_view/5235503" TargetMode="External"/>
  <ns0:Relationship Id="rId1840" Type="http://schemas.openxmlformats.org/officeDocument/2006/relationships/hyperlink" Target="https://my.zakupki.prom.ua/remote/dispatcher/state_purchase_view/21613817" TargetMode="External"/>
  <ns0:Relationship Id="rId1841" Type="http://schemas.openxmlformats.org/officeDocument/2006/relationships/hyperlink" Target="https://my.zakupki.prom.ua/remote/dispatcher/state_contracting_view/6594553" TargetMode="External"/>
  <ns0:Relationship Id="rId1842" Type="http://schemas.openxmlformats.org/officeDocument/2006/relationships/hyperlink" Target="https://my.zakupki.prom.ua/remote/dispatcher/state_purchase_view/22423533" TargetMode="External"/>
  <ns0:Relationship Id="rId1843" Type="http://schemas.openxmlformats.org/officeDocument/2006/relationships/hyperlink" Target="https://my.zakupki.prom.ua/remote/dispatcher/state_contracting_view/6979538" TargetMode="External"/>
  <ns0:Relationship Id="rId1844" Type="http://schemas.openxmlformats.org/officeDocument/2006/relationships/hyperlink" Target="https://my.zakupki.prom.ua/remote/dispatcher/state_purchase_view/21696316" TargetMode="External"/>
  <ns0:Relationship Id="rId1845" Type="http://schemas.openxmlformats.org/officeDocument/2006/relationships/hyperlink" Target="https://my.zakupki.prom.ua/remote/dispatcher/state_contracting_view/6633034" TargetMode="External"/>
  <ns0:Relationship Id="rId1846" Type="http://schemas.openxmlformats.org/officeDocument/2006/relationships/hyperlink" Target="https://my.zakupki.prom.ua/remote/dispatcher/state_purchase_view/21861029" TargetMode="External"/>
  <ns0:Relationship Id="rId1847" Type="http://schemas.openxmlformats.org/officeDocument/2006/relationships/hyperlink" Target="https://my.zakupki.prom.ua/remote/dispatcher/state_contracting_view/6712521" TargetMode="External"/>
  <ns0:Relationship Id="rId1848" Type="http://schemas.openxmlformats.org/officeDocument/2006/relationships/hyperlink" Target="https://my.zakupki.prom.ua/remote/dispatcher/state_purchase_view/22585371" TargetMode="External"/>
  <ns0:Relationship Id="rId1849" Type="http://schemas.openxmlformats.org/officeDocument/2006/relationships/hyperlink" Target="https://my.zakupki.prom.ua/remote/dispatcher/state_contracting_view/7059379" TargetMode="External"/>
  <ns0:Relationship Id="rId1850" Type="http://schemas.openxmlformats.org/officeDocument/2006/relationships/hyperlink" Target="https://my.zakupki.prom.ua/remote/dispatcher/state_purchase_view/22586307" TargetMode="External"/>
  <ns0:Relationship Id="rId1851" Type="http://schemas.openxmlformats.org/officeDocument/2006/relationships/hyperlink" Target="https://my.zakupki.prom.ua/remote/dispatcher/state_contracting_view/7060082" TargetMode="External"/>
  <ns0:Relationship Id="rId1852" Type="http://schemas.openxmlformats.org/officeDocument/2006/relationships/hyperlink" Target="https://my.zakupki.prom.ua/remote/dispatcher/state_purchase_view/18043911" TargetMode="External"/>
  <ns0:Relationship Id="rId1853" Type="http://schemas.openxmlformats.org/officeDocument/2006/relationships/hyperlink" Target="https://my.zakupki.prom.ua/remote/dispatcher/state_contracting_view/4906252" TargetMode="External"/>
  <ns0:Relationship Id="rId1854" Type="http://schemas.openxmlformats.org/officeDocument/2006/relationships/hyperlink" Target="https://my.zakupki.prom.ua/remote/dispatcher/state_purchase_view/17536590" TargetMode="External"/>
  <ns0:Relationship Id="rId1855" Type="http://schemas.openxmlformats.org/officeDocument/2006/relationships/hyperlink" Target="https://my.zakupki.prom.ua/remote/dispatcher/state_contracting_view/4670557" TargetMode="External"/>
  <ns0:Relationship Id="rId1856" Type="http://schemas.openxmlformats.org/officeDocument/2006/relationships/hyperlink" Target="https://my.zakupki.prom.ua/remote/dispatcher/state_purchase_view/18097683" TargetMode="External"/>
  <ns0:Relationship Id="rId1857" Type="http://schemas.openxmlformats.org/officeDocument/2006/relationships/hyperlink" Target="https://my.zakupki.prom.ua/remote/dispatcher/state_contracting_view/4932216" TargetMode="External"/>
  <ns0:Relationship Id="rId1858" Type="http://schemas.openxmlformats.org/officeDocument/2006/relationships/hyperlink" Target="https://my.zakupki.prom.ua/remote/dispatcher/state_purchase_view/18201821" TargetMode="External"/>
  <ns0:Relationship Id="rId1859" Type="http://schemas.openxmlformats.org/officeDocument/2006/relationships/hyperlink" Target="https://my.zakupki.prom.ua/remote/dispatcher/state_contracting_view/4980747" TargetMode="External"/>
  <ns0:Relationship Id="rId1860" Type="http://schemas.openxmlformats.org/officeDocument/2006/relationships/hyperlink" Target="https://my.zakupki.prom.ua/remote/dispatcher/state_purchase_view/18181783" TargetMode="External"/>
  <ns0:Relationship Id="rId1861" Type="http://schemas.openxmlformats.org/officeDocument/2006/relationships/hyperlink" Target="https://my.zakupki.prom.ua/remote/dispatcher/state_contracting_view/4971322" TargetMode="External"/>
  <ns0:Relationship Id="rId1862" Type="http://schemas.openxmlformats.org/officeDocument/2006/relationships/hyperlink" Target="https://my.zakupki.prom.ua/remote/dispatcher/state_purchase_view/18209094" TargetMode="External"/>
  <ns0:Relationship Id="rId1863" Type="http://schemas.openxmlformats.org/officeDocument/2006/relationships/hyperlink" Target="https://my.zakupki.prom.ua/remote/dispatcher/state_contracting_view/4984132" TargetMode="External"/>
  <ns0:Relationship Id="rId1864" Type="http://schemas.openxmlformats.org/officeDocument/2006/relationships/hyperlink" Target="https://my.zakupki.prom.ua/remote/dispatcher/state_purchase_view/20208706" TargetMode="External"/>
  <ns0:Relationship Id="rId1865" Type="http://schemas.openxmlformats.org/officeDocument/2006/relationships/hyperlink" Target="https://my.zakupki.prom.ua/remote/dispatcher/state_contracting_view/5926782" TargetMode="External"/>
  <ns0:Relationship Id="rId1866" Type="http://schemas.openxmlformats.org/officeDocument/2006/relationships/hyperlink" Target="https://my.zakupki.prom.ua/remote/dispatcher/state_purchase_view/20070808" TargetMode="External"/>
  <ns0:Relationship Id="rId1867" Type="http://schemas.openxmlformats.org/officeDocument/2006/relationships/hyperlink" Target="https://my.zakupki.prom.ua/remote/dispatcher/state_contracting_view/5861199" TargetMode="External"/>
  <ns0:Relationship Id="rId1868" Type="http://schemas.openxmlformats.org/officeDocument/2006/relationships/hyperlink" Target="https://my.zakupki.prom.ua/remote/dispatcher/state_purchase_view/20109975" TargetMode="External"/>
  <ns0:Relationship Id="rId1869" Type="http://schemas.openxmlformats.org/officeDocument/2006/relationships/hyperlink" Target="https://my.zakupki.prom.ua/remote/dispatcher/state_contracting_view/5880057" TargetMode="External"/>
  <ns0:Relationship Id="rId1870" Type="http://schemas.openxmlformats.org/officeDocument/2006/relationships/hyperlink" Target="https://my.zakupki.prom.ua/remote/dispatcher/state_purchase_view/15484246" TargetMode="External"/>
  <ns0:Relationship Id="rId1871" Type="http://schemas.openxmlformats.org/officeDocument/2006/relationships/hyperlink" Target="https://my.zakupki.prom.ua/remote/dispatcher/state_contracting_view/3855798" TargetMode="External"/>
  <ns0:Relationship Id="rId1872" Type="http://schemas.openxmlformats.org/officeDocument/2006/relationships/hyperlink" Target="https://my.zakupki.prom.ua/remote/dispatcher/state_purchase_view/15394403" TargetMode="External"/>
  <ns0:Relationship Id="rId1873" Type="http://schemas.openxmlformats.org/officeDocument/2006/relationships/hyperlink" Target="https://my.zakupki.prom.ua/remote/dispatcher/state_contracting_view/3829535" TargetMode="External"/>
  <ns0:Relationship Id="rId1874" Type="http://schemas.openxmlformats.org/officeDocument/2006/relationships/hyperlink" Target="https://my.zakupki.prom.ua/remote/dispatcher/state_purchase_view/15941679" TargetMode="External"/>
  <ns0:Relationship Id="rId1875" Type="http://schemas.openxmlformats.org/officeDocument/2006/relationships/hyperlink" Target="https://my.zakupki.prom.ua/remote/dispatcher/state_contracting_view/3995149" TargetMode="External"/>
  <ns0:Relationship Id="rId1876" Type="http://schemas.openxmlformats.org/officeDocument/2006/relationships/hyperlink" Target="https://my.zakupki.prom.ua/remote/dispatcher/state_purchase_view/15692476" TargetMode="External"/>
  <ns0:Relationship Id="rId1877" Type="http://schemas.openxmlformats.org/officeDocument/2006/relationships/hyperlink" Target="https://my.zakupki.prom.ua/remote/dispatcher/state_contracting_view/3916823" TargetMode="External"/>
  <ns0:Relationship Id="rId1878" Type="http://schemas.openxmlformats.org/officeDocument/2006/relationships/hyperlink" Target="https://my.zakupki.prom.ua/remote/dispatcher/state_purchase_view/16906291" TargetMode="External"/>
  <ns0:Relationship Id="rId1879" Type="http://schemas.openxmlformats.org/officeDocument/2006/relationships/hyperlink" Target="https://my.zakupki.prom.ua/remote/dispatcher/state_contracting_view/4382876" TargetMode="External"/>
  <ns0:Relationship Id="rId1880" Type="http://schemas.openxmlformats.org/officeDocument/2006/relationships/hyperlink" Target="https://my.zakupki.prom.ua/remote/dispatcher/state_purchase_view/16887904" TargetMode="External"/>
  <ns0:Relationship Id="rId1881" Type="http://schemas.openxmlformats.org/officeDocument/2006/relationships/hyperlink" Target="https://my.zakupki.prom.ua/remote/dispatcher/state_contracting_view/4373009" TargetMode="External"/>
  <ns0:Relationship Id="rId1882" Type="http://schemas.openxmlformats.org/officeDocument/2006/relationships/hyperlink" Target="https://my.zakupki.prom.ua/remote/dispatcher/state_purchase_view/16970785" TargetMode="External"/>
  <ns0:Relationship Id="rId1883" Type="http://schemas.openxmlformats.org/officeDocument/2006/relationships/hyperlink" Target="https://my.zakupki.prom.ua/remote/dispatcher/state_contracting_view/4410968" TargetMode="External"/>
  <ns0:Relationship Id="rId1884" Type="http://schemas.openxmlformats.org/officeDocument/2006/relationships/hyperlink" Target="https://my.zakupki.prom.ua/remote/dispatcher/state_purchase_view/16171553" TargetMode="External"/>
  <ns0:Relationship Id="rId1885" Type="http://schemas.openxmlformats.org/officeDocument/2006/relationships/hyperlink" Target="https://my.zakupki.prom.ua/remote/dispatcher/state_contracting_view/4076238" TargetMode="External"/>
  <ns0:Relationship Id="rId1886" Type="http://schemas.openxmlformats.org/officeDocument/2006/relationships/hyperlink" Target="https://my.zakupki.prom.ua/remote/dispatcher/state_purchase_view/16284412" TargetMode="External"/>
  <ns0:Relationship Id="rId1887" Type="http://schemas.openxmlformats.org/officeDocument/2006/relationships/hyperlink" Target="https://my.zakupki.prom.ua/remote/dispatcher/state_contracting_view/4114627" TargetMode="External"/>
  <ns0:Relationship Id="rId1888" Type="http://schemas.openxmlformats.org/officeDocument/2006/relationships/hyperlink" Target="https://my.zakupki.prom.ua/remote/dispatcher/state_purchase_view/16494583" TargetMode="External"/>
  <ns0:Relationship Id="rId1889" Type="http://schemas.openxmlformats.org/officeDocument/2006/relationships/hyperlink" Target="https://my.zakupki.prom.ua/remote/dispatcher/state_contracting_view/4199703" TargetMode="External"/>
  <ns0:Relationship Id="rId1890" Type="http://schemas.openxmlformats.org/officeDocument/2006/relationships/hyperlink" Target="https://my.zakupki.prom.ua/remote/dispatcher/state_purchase_view/15138003" TargetMode="External"/>
  <ns0:Relationship Id="rId1891" Type="http://schemas.openxmlformats.org/officeDocument/2006/relationships/hyperlink" Target="https://my.zakupki.prom.ua/remote/dispatcher/state_contracting_view/3762112" TargetMode="External"/>
  <ns0:Relationship Id="rId1892" Type="http://schemas.openxmlformats.org/officeDocument/2006/relationships/hyperlink" Target="https://my.zakupki.prom.ua/remote/dispatcher/state_purchase_view/17221382" TargetMode="External"/>
  <ns0:Relationship Id="rId1893" Type="http://schemas.openxmlformats.org/officeDocument/2006/relationships/hyperlink" Target="https://my.zakupki.prom.ua/remote/dispatcher/state_contracting_view/4524427" TargetMode="External"/>
  <ns0:Relationship Id="rId1894" Type="http://schemas.openxmlformats.org/officeDocument/2006/relationships/hyperlink" Target="https://my.zakupki.prom.ua/remote/dispatcher/state_purchase_view/17505883" TargetMode="External"/>
  <ns0:Relationship Id="rId1895" Type="http://schemas.openxmlformats.org/officeDocument/2006/relationships/hyperlink" Target="https://my.zakupki.prom.ua/remote/dispatcher/state_contracting_view/4655737" TargetMode="External"/>
  <ns0:Relationship Id="rId1896" Type="http://schemas.openxmlformats.org/officeDocument/2006/relationships/hyperlink" Target="https://my.zakupki.prom.ua/remote/dispatcher/state_purchase_view/21423439" TargetMode="External"/>
  <ns0:Relationship Id="rId1897" Type="http://schemas.openxmlformats.org/officeDocument/2006/relationships/hyperlink" Target="https://my.zakupki.prom.ua/remote/dispatcher/state_contracting_view/6505087" TargetMode="External"/>
  <ns0:Relationship Id="rId1898" Type="http://schemas.openxmlformats.org/officeDocument/2006/relationships/hyperlink" Target="https://my.zakupki.prom.ua/remote/dispatcher/state_purchase_view/22556040" TargetMode="External"/>
  <ns0:Relationship Id="rId1899" Type="http://schemas.openxmlformats.org/officeDocument/2006/relationships/hyperlink" Target="https://my.zakupki.prom.ua/remote/dispatcher/state_contracting_view/7044959" TargetMode="External"/>
  <ns0:Relationship Id="rId1900" Type="http://schemas.openxmlformats.org/officeDocument/2006/relationships/hyperlink" Target="https://my.zakupki.prom.ua/remote/dispatcher/state_purchase_view/22764120" TargetMode="External"/>
  <ns0:Relationship Id="rId1901" Type="http://schemas.openxmlformats.org/officeDocument/2006/relationships/hyperlink" Target="https://my.zakupki.prom.ua/remote/dispatcher/state_contracting_view/7146307" TargetMode="External"/>
  <ns0:Relationship Id="rId1902" Type="http://schemas.openxmlformats.org/officeDocument/2006/relationships/hyperlink" Target="https://my.zakupki.prom.ua/remote/dispatcher/state_purchase_view/22772037" TargetMode="External"/>
  <ns0:Relationship Id="rId1903" Type="http://schemas.openxmlformats.org/officeDocument/2006/relationships/hyperlink" Target="https://my.zakupki.prom.ua/remote/dispatcher/state_contracting_view/7149685" TargetMode="External"/>
  <ns0:Relationship Id="rId1904" Type="http://schemas.openxmlformats.org/officeDocument/2006/relationships/hyperlink" Target="https://my.zakupki.prom.ua/remote/dispatcher/state_purchase_view/15099447" TargetMode="External"/>
  <ns0:Relationship Id="rId1905" Type="http://schemas.openxmlformats.org/officeDocument/2006/relationships/hyperlink" Target="https://my.zakupki.prom.ua/remote/dispatcher/state_contracting_view/3753024" TargetMode="External"/>
  <ns0:Relationship Id="rId1906" Type="http://schemas.openxmlformats.org/officeDocument/2006/relationships/hyperlink" Target="https://my.zakupki.prom.ua/remote/dispatcher/state_purchase_view/14967146" TargetMode="External"/>
  <ns0:Relationship Id="rId1907" Type="http://schemas.openxmlformats.org/officeDocument/2006/relationships/hyperlink" Target="https://my.zakupki.prom.ua/remote/dispatcher/state_contracting_view/3720797" TargetMode="External"/>
  <ns0:Relationship Id="rId1908" Type="http://schemas.openxmlformats.org/officeDocument/2006/relationships/hyperlink" Target="https://my.zakupki.prom.ua/remote/dispatcher/state_purchase_view/14849133" TargetMode="External"/>
  <ns0:Relationship Id="rId1909" Type="http://schemas.openxmlformats.org/officeDocument/2006/relationships/hyperlink" Target="https://my.zakupki.prom.ua/remote/dispatcher/state_contracting_view/3692091" TargetMode="External"/>
  <ns0:Relationship Id="rId1910" Type="http://schemas.openxmlformats.org/officeDocument/2006/relationships/hyperlink" Target="https://my.zakupki.prom.ua/remote/dispatcher/state_purchase_view/15888740" TargetMode="External"/>
  <ns0:Relationship Id="rId1911" Type="http://schemas.openxmlformats.org/officeDocument/2006/relationships/hyperlink" Target="https://my.zakupki.prom.ua/remote/dispatcher/state_contracting_view/3977403" TargetMode="External"/>
  <ns0:Relationship Id="rId1912" Type="http://schemas.openxmlformats.org/officeDocument/2006/relationships/hyperlink" Target="https://my.zakupki.prom.ua/remote/dispatcher/state_purchase_view/16005698" TargetMode="External"/>
  <ns0:Relationship Id="rId1913" Type="http://schemas.openxmlformats.org/officeDocument/2006/relationships/hyperlink" Target="https://my.zakupki.prom.ua/remote/dispatcher/state_contracting_view/4017021" TargetMode="External"/>
  <ns0:Relationship Id="rId1914" Type="http://schemas.openxmlformats.org/officeDocument/2006/relationships/hyperlink" Target="https://my.zakupki.prom.ua/remote/dispatcher/state_purchase_view/16179823" TargetMode="External"/>
  <ns0:Relationship Id="rId1915" Type="http://schemas.openxmlformats.org/officeDocument/2006/relationships/hyperlink" Target="https://my.zakupki.prom.ua/remote/dispatcher/state_contracting_view/4078032" TargetMode="External"/>
  <ns0:Relationship Id="rId1916" Type="http://schemas.openxmlformats.org/officeDocument/2006/relationships/hyperlink" Target="https://my.zakupki.prom.ua/remote/dispatcher/state_purchase_view/18789346" TargetMode="External"/>
  <ns0:Relationship Id="rId1917" Type="http://schemas.openxmlformats.org/officeDocument/2006/relationships/hyperlink" Target="https://my.zakupki.prom.ua/remote/dispatcher/state_contracting_view/5256724" TargetMode="External"/>
  <ns0:Relationship Id="rId1918" Type="http://schemas.openxmlformats.org/officeDocument/2006/relationships/hyperlink" Target="https://my.zakupki.prom.ua/remote/dispatcher/state_purchase_view/19114686" TargetMode="External"/>
  <ns0:Relationship Id="rId1919" Type="http://schemas.openxmlformats.org/officeDocument/2006/relationships/hyperlink" Target="https://my.zakupki.prom.ua/remote/dispatcher/state_contracting_view/5410656" TargetMode="External"/>
  <ns0:Relationship Id="rId1920" Type="http://schemas.openxmlformats.org/officeDocument/2006/relationships/hyperlink" Target="https://my.zakupki.prom.ua/remote/dispatcher/state_purchase_view/18931126" TargetMode="External"/>
  <ns0:Relationship Id="rId1921" Type="http://schemas.openxmlformats.org/officeDocument/2006/relationships/hyperlink" Target="https://my.zakupki.prom.ua/remote/dispatcher/state_contracting_view/5323863" TargetMode="External"/>
  <ns0:Relationship Id="rId1922" Type="http://schemas.openxmlformats.org/officeDocument/2006/relationships/hyperlink" Target="https://my.zakupki.prom.ua/remote/dispatcher/state_purchase_view/18647001" TargetMode="External"/>
  <ns0:Relationship Id="rId1923" Type="http://schemas.openxmlformats.org/officeDocument/2006/relationships/hyperlink" Target="https://my.zakupki.prom.ua/remote/dispatcher/state_contracting_view/5187730" TargetMode="External"/>
  <ns0:Relationship Id="rId1924" Type="http://schemas.openxmlformats.org/officeDocument/2006/relationships/hyperlink" Target="https://my.zakupki.prom.ua/remote/dispatcher/state_purchase_view/18849372" TargetMode="External"/>
  <ns0:Relationship Id="rId1925" Type="http://schemas.openxmlformats.org/officeDocument/2006/relationships/hyperlink" Target="https://my.zakupki.prom.ua/remote/dispatcher/state_contracting_view/5285638" TargetMode="External"/>
  <ns0:Relationship Id="rId1926" Type="http://schemas.openxmlformats.org/officeDocument/2006/relationships/hyperlink" Target="https://my.zakupki.prom.ua/remote/dispatcher/state_purchase_view/19694442" TargetMode="External"/>
  <ns0:Relationship Id="rId1927" Type="http://schemas.openxmlformats.org/officeDocument/2006/relationships/hyperlink" Target="https://my.zakupki.prom.ua/remote/dispatcher/state_contracting_view/5685423" TargetMode="External"/>
  <ns0:Relationship Id="rId1928" Type="http://schemas.openxmlformats.org/officeDocument/2006/relationships/hyperlink" Target="https://my.zakupki.prom.ua/remote/dispatcher/state_purchase_view/18050563" TargetMode="External"/>
  <ns0:Relationship Id="rId1929" Type="http://schemas.openxmlformats.org/officeDocument/2006/relationships/hyperlink" Target="https://my.zakupki.prom.ua/remote/dispatcher/state_contracting_view/4909560" TargetMode="External"/>
  <ns0:Relationship Id="rId1930" Type="http://schemas.openxmlformats.org/officeDocument/2006/relationships/hyperlink" Target="https://my.zakupki.prom.ua/remote/dispatcher/state_purchase_view/18122247" TargetMode="External"/>
  <ns0:Relationship Id="rId1931" Type="http://schemas.openxmlformats.org/officeDocument/2006/relationships/hyperlink" Target="https://my.zakupki.prom.ua/remote/dispatcher/state_contracting_view/4943674" TargetMode="External"/>
  <ns0:Relationship Id="rId1932" Type="http://schemas.openxmlformats.org/officeDocument/2006/relationships/hyperlink" Target="https://my.zakupki.prom.ua/remote/dispatcher/state_purchase_view/18315574" TargetMode="External"/>
  <ns0:Relationship Id="rId1933" Type="http://schemas.openxmlformats.org/officeDocument/2006/relationships/hyperlink" Target="https://my.zakupki.prom.ua/remote/dispatcher/state_contracting_view/5032244" TargetMode="External"/>
  <ns0:Relationship Id="rId1934" Type="http://schemas.openxmlformats.org/officeDocument/2006/relationships/hyperlink" Target="https://my.zakupki.prom.ua/remote/dispatcher/state_purchase_view/18421336" TargetMode="External"/>
  <ns0:Relationship Id="rId1935" Type="http://schemas.openxmlformats.org/officeDocument/2006/relationships/hyperlink" Target="https://my.zakupki.prom.ua/remote/dispatcher/state_contracting_view/5081754" TargetMode="External"/>
  <ns0:Relationship Id="rId1936" Type="http://schemas.openxmlformats.org/officeDocument/2006/relationships/hyperlink" Target="https://my.zakupki.prom.ua/remote/dispatcher/state_purchase_view/18422503" TargetMode="External"/>
  <ns0:Relationship Id="rId1937" Type="http://schemas.openxmlformats.org/officeDocument/2006/relationships/hyperlink" Target="https://my.zakupki.prom.ua/remote/dispatcher/state_contracting_view/5082439" TargetMode="External"/>
  <ns0:Relationship Id="rId1938" Type="http://schemas.openxmlformats.org/officeDocument/2006/relationships/hyperlink" Target="https://my.zakupki.prom.ua/remote/dispatcher/state_purchase_view/18335868" TargetMode="External"/>
  <ns0:Relationship Id="rId1939" Type="http://schemas.openxmlformats.org/officeDocument/2006/relationships/hyperlink" Target="https://my.zakupki.prom.ua/remote/dispatcher/state_contracting_view/5041951" TargetMode="External"/>
  <ns0:Relationship Id="rId1940" Type="http://schemas.openxmlformats.org/officeDocument/2006/relationships/hyperlink" Target="https://my.zakupki.prom.ua/remote/dispatcher/state_purchase_view/18257641" TargetMode="External"/>
  <ns0:Relationship Id="rId1941" Type="http://schemas.openxmlformats.org/officeDocument/2006/relationships/hyperlink" Target="https://my.zakupki.prom.ua/remote/dispatcher/state_contracting_view/5005522" TargetMode="External"/>
  <ns0:Relationship Id="rId1942" Type="http://schemas.openxmlformats.org/officeDocument/2006/relationships/hyperlink" Target="https://my.zakupki.prom.ua/remote/dispatcher/state_purchase_view/18652623" TargetMode="External"/>
  <ns0:Relationship Id="rId1943" Type="http://schemas.openxmlformats.org/officeDocument/2006/relationships/hyperlink" Target="https://my.zakupki.prom.ua/remote/dispatcher/state_contracting_view/5190332" TargetMode="External"/>
  <ns0:Relationship Id="rId1944" Type="http://schemas.openxmlformats.org/officeDocument/2006/relationships/hyperlink" Target="https://my.zakupki.prom.ua/remote/dispatcher/state_purchase_view/16507801" TargetMode="External"/>
  <ns0:Relationship Id="rId1945" Type="http://schemas.openxmlformats.org/officeDocument/2006/relationships/hyperlink" Target="https://my.zakupki.prom.ua/remote/dispatcher/state_contracting_view/4205068" TargetMode="External"/>
  <ns0:Relationship Id="rId1946" Type="http://schemas.openxmlformats.org/officeDocument/2006/relationships/hyperlink" Target="https://my.zakupki.prom.ua/remote/dispatcher/state_purchase_view/16458690" TargetMode="External"/>
  <ns0:Relationship Id="rId1947" Type="http://schemas.openxmlformats.org/officeDocument/2006/relationships/hyperlink" Target="https://my.zakupki.prom.ua/remote/dispatcher/state_contracting_view/4182646" TargetMode="External"/>
  <ns0:Relationship Id="rId1948" Type="http://schemas.openxmlformats.org/officeDocument/2006/relationships/hyperlink" Target="https://my.zakupki.prom.ua/remote/dispatcher/state_purchase_view/17652903" TargetMode="External"/>
  <ns0:Relationship Id="rId1949" Type="http://schemas.openxmlformats.org/officeDocument/2006/relationships/hyperlink" Target="https://my.zakupki.prom.ua/remote/dispatcher/state_contracting_view/4724355" TargetMode="External"/>
  <ns0:Relationship Id="rId1950" Type="http://schemas.openxmlformats.org/officeDocument/2006/relationships/hyperlink" Target="https://my.zakupki.prom.ua/remote/dispatcher/state_purchase_view/17769972" TargetMode="External"/>
  <ns0:Relationship Id="rId1951" Type="http://schemas.openxmlformats.org/officeDocument/2006/relationships/hyperlink" Target="https://my.zakupki.prom.ua/remote/dispatcher/state_contracting_view/4778580" TargetMode="External"/>
  <ns0:Relationship Id="rId1952" Type="http://schemas.openxmlformats.org/officeDocument/2006/relationships/hyperlink" Target="https://my.zakupki.prom.ua/remote/dispatcher/state_purchase_view/17489001" TargetMode="External"/>
  <ns0:Relationship Id="rId1953" Type="http://schemas.openxmlformats.org/officeDocument/2006/relationships/hyperlink" Target="https://my.zakupki.prom.ua/remote/dispatcher/state_contracting_view/4647921" TargetMode="External"/>
  <ns0:Relationship Id="rId1954" Type="http://schemas.openxmlformats.org/officeDocument/2006/relationships/hyperlink" Target="https://my.zakupki.prom.ua/remote/dispatcher/state_purchase_view/17458968" TargetMode="External"/>
  <ns0:Relationship Id="rId1955" Type="http://schemas.openxmlformats.org/officeDocument/2006/relationships/hyperlink" Target="https://my.zakupki.prom.ua/remote/dispatcher/state_contracting_view/4635303" TargetMode="External"/>
  <ns0:Relationship Id="rId1956" Type="http://schemas.openxmlformats.org/officeDocument/2006/relationships/hyperlink" Target="https://my.zakupki.prom.ua/remote/dispatcher/state_purchase_view/17542969" TargetMode="External"/>
  <ns0:Relationship Id="rId1957" Type="http://schemas.openxmlformats.org/officeDocument/2006/relationships/hyperlink" Target="https://my.zakupki.prom.ua/remote/dispatcher/state_contracting_view/4675622" TargetMode="External"/>
  <ns0:Relationship Id="rId1958" Type="http://schemas.openxmlformats.org/officeDocument/2006/relationships/hyperlink" Target="https://my.zakupki.prom.ua/remote/dispatcher/state_purchase_view/17968573" TargetMode="External"/>
  <ns0:Relationship Id="rId1959" Type="http://schemas.openxmlformats.org/officeDocument/2006/relationships/hyperlink" Target="https://my.zakupki.prom.ua/remote/dispatcher/state_contracting_view/4870749" TargetMode="External"/>
  <ns0:Relationship Id="rId1960" Type="http://schemas.openxmlformats.org/officeDocument/2006/relationships/hyperlink" Target="https://my.zakupki.prom.ua/remote/dispatcher/state_purchase_view/17965428" TargetMode="External"/>
  <ns0:Relationship Id="rId1961" Type="http://schemas.openxmlformats.org/officeDocument/2006/relationships/hyperlink" Target="https://my.zakupki.prom.ua/remote/dispatcher/state_contracting_view/4869145" TargetMode="External"/>
  <ns0:Relationship Id="rId1962" Type="http://schemas.openxmlformats.org/officeDocument/2006/relationships/hyperlink" Target="https://my.zakupki.prom.ua/remote/dispatcher/state_purchase_view/18130911" TargetMode="External"/>
  <ns0:Relationship Id="rId1963" Type="http://schemas.openxmlformats.org/officeDocument/2006/relationships/hyperlink" Target="https://my.zakupki.prom.ua/remote/dispatcher/state_contracting_view/4947260" TargetMode="External"/>
  <ns0:Relationship Id="rId1964" Type="http://schemas.openxmlformats.org/officeDocument/2006/relationships/hyperlink" Target="https://my.zakupki.prom.ua/remote/dispatcher/state_purchase_view/17576326" TargetMode="External"/>
  <ns0:Relationship Id="rId1965" Type="http://schemas.openxmlformats.org/officeDocument/2006/relationships/hyperlink" Target="https://my.zakupki.prom.ua/remote/dispatcher/state_contracting_view/4688739" TargetMode="External"/>
  <ns0:Relationship Id="rId1966" Type="http://schemas.openxmlformats.org/officeDocument/2006/relationships/hyperlink" Target="https://my.zakupki.prom.ua/remote/dispatcher/state_purchase_view/19883883" TargetMode="External"/>
  <ns0:Relationship Id="rId1967" Type="http://schemas.openxmlformats.org/officeDocument/2006/relationships/hyperlink" Target="https://my.zakupki.prom.ua/remote/dispatcher/state_contracting_view/5773093" TargetMode="External"/>
  <ns0:Relationship Id="rId1968" Type="http://schemas.openxmlformats.org/officeDocument/2006/relationships/hyperlink" Target="https://my.zakupki.prom.ua/remote/dispatcher/state_purchase_view/19888114" TargetMode="External"/>
  <ns0:Relationship Id="rId1969" Type="http://schemas.openxmlformats.org/officeDocument/2006/relationships/hyperlink" Target="https://my.zakupki.prom.ua/remote/dispatcher/state_contracting_view/5775067" TargetMode="External"/>
  <ns0:Relationship Id="rId1970" Type="http://schemas.openxmlformats.org/officeDocument/2006/relationships/hyperlink" Target="https://my.zakupki.prom.ua/remote/dispatcher/state_purchase_view/20114100" TargetMode="External"/>
  <ns0:Relationship Id="rId1971" Type="http://schemas.openxmlformats.org/officeDocument/2006/relationships/hyperlink" Target="https://my.zakupki.prom.ua/remote/dispatcher/state_contracting_view/5882032" TargetMode="External"/>
  <ns0:Relationship Id="rId1972" Type="http://schemas.openxmlformats.org/officeDocument/2006/relationships/hyperlink" Target="https://my.zakupki.prom.ua/remote/dispatcher/state_purchase_view/19318234" TargetMode="External"/>
  <ns0:Relationship Id="rId1973" Type="http://schemas.openxmlformats.org/officeDocument/2006/relationships/hyperlink" Target="https://my.zakupki.prom.ua/remote/dispatcher/state_contracting_view/5929062" TargetMode="External"/>
  <ns0:Relationship Id="rId1974" Type="http://schemas.openxmlformats.org/officeDocument/2006/relationships/hyperlink" Target="https://my.zakupki.prom.ua/remote/dispatcher/state_purchase_view/20428458" TargetMode="External"/>
  <ns0:Relationship Id="rId1975" Type="http://schemas.openxmlformats.org/officeDocument/2006/relationships/hyperlink" Target="https://my.zakupki.prom.ua/remote/dispatcher/state_contracting_view/6034235" TargetMode="External"/>
  <ns0:Relationship Id="rId1976" Type="http://schemas.openxmlformats.org/officeDocument/2006/relationships/hyperlink" Target="https://my.zakupki.prom.ua/remote/dispatcher/state_purchase_view/20429586" TargetMode="External"/>
  <ns0:Relationship Id="rId1977" Type="http://schemas.openxmlformats.org/officeDocument/2006/relationships/hyperlink" Target="https://my.zakupki.prom.ua/remote/dispatcher/state_contracting_view/6034446" TargetMode="External"/>
  <ns0:Relationship Id="rId1978" Type="http://schemas.openxmlformats.org/officeDocument/2006/relationships/hyperlink" Target="https://my.zakupki.prom.ua/remote/dispatcher/state_purchase_view/18993120" TargetMode="External"/>
  <ns0:Relationship Id="rId1979" Type="http://schemas.openxmlformats.org/officeDocument/2006/relationships/hyperlink" Target="https://my.zakupki.prom.ua/remote/dispatcher/state_contracting_view/5353102" TargetMode="External"/>
  <ns0:Relationship Id="rId1980" Type="http://schemas.openxmlformats.org/officeDocument/2006/relationships/hyperlink" Target="https://my.zakupki.prom.ua/remote/dispatcher/state_purchase_view/18982254" TargetMode="External"/>
  <ns0:Relationship Id="rId1981" Type="http://schemas.openxmlformats.org/officeDocument/2006/relationships/hyperlink" Target="https://my.zakupki.prom.ua/remote/dispatcher/state_contracting_view/5347541" TargetMode="External"/>
  <ns0:Relationship Id="rId1982" Type="http://schemas.openxmlformats.org/officeDocument/2006/relationships/hyperlink" Target="https://my.zakupki.prom.ua/remote/dispatcher/state_purchase_view/19269163" TargetMode="External"/>
  <ns0:Relationship Id="rId1983" Type="http://schemas.openxmlformats.org/officeDocument/2006/relationships/hyperlink" Target="https://my.zakupki.prom.ua/remote/dispatcher/state_contracting_view/5483667" TargetMode="External"/>
  <ns0:Relationship Id="rId1984" Type="http://schemas.openxmlformats.org/officeDocument/2006/relationships/hyperlink" Target="https://my.zakupki.prom.ua/remote/dispatcher/state_purchase_view/19240694" TargetMode="External"/>
  <ns0:Relationship Id="rId1985" Type="http://schemas.openxmlformats.org/officeDocument/2006/relationships/hyperlink" Target="https://my.zakupki.prom.ua/remote/dispatcher/state_contracting_view/5469953" TargetMode="External"/>
  <ns0:Relationship Id="rId1986" Type="http://schemas.openxmlformats.org/officeDocument/2006/relationships/hyperlink" Target="https://my.zakupki.prom.ua/remote/dispatcher/state_purchase_view/16572675" TargetMode="External"/>
  <ns0:Relationship Id="rId1987" Type="http://schemas.openxmlformats.org/officeDocument/2006/relationships/hyperlink" Target="https://my.zakupki.prom.ua/remote/dispatcher/state_contracting_view/4233113" TargetMode="External"/>
  <ns0:Relationship Id="rId1988" Type="http://schemas.openxmlformats.org/officeDocument/2006/relationships/hyperlink" Target="https://my.zakupki.prom.ua/remote/dispatcher/state_purchase_view/20878381" TargetMode="External"/>
  <ns0:Relationship Id="rId1989" Type="http://schemas.openxmlformats.org/officeDocument/2006/relationships/hyperlink" Target="https://my.zakupki.prom.ua/remote/dispatcher/state_contracting_view/6250174" TargetMode="External"/>
  <ns0:Relationship Id="rId1990" Type="http://schemas.openxmlformats.org/officeDocument/2006/relationships/hyperlink" Target="https://my.zakupki.prom.ua/remote/dispatcher/state_purchase_view/20982037" TargetMode="External"/>
  <ns0:Relationship Id="rId1991" Type="http://schemas.openxmlformats.org/officeDocument/2006/relationships/hyperlink" Target="https://my.zakupki.prom.ua/remote/dispatcher/state_contracting_view/6299499" TargetMode="External"/>
  <ns0:Relationship Id="rId1992" Type="http://schemas.openxmlformats.org/officeDocument/2006/relationships/hyperlink" Target="https://my.zakupki.prom.ua/remote/dispatcher/state_purchase_view/20983166" TargetMode="External"/>
  <ns0:Relationship Id="rId1993" Type="http://schemas.openxmlformats.org/officeDocument/2006/relationships/hyperlink" Target="https://my.zakupki.prom.ua/remote/dispatcher/state_contracting_view/6300231" TargetMode="External"/>
  <ns0:Relationship Id="rId1994" Type="http://schemas.openxmlformats.org/officeDocument/2006/relationships/hyperlink" Target="https://my.zakupki.prom.ua/remote/dispatcher/state_purchase_view/20575897" TargetMode="External"/>
  <ns0:Relationship Id="rId1995" Type="http://schemas.openxmlformats.org/officeDocument/2006/relationships/hyperlink" Target="https://my.zakupki.prom.ua/remote/dispatcher/state_contracting_view/6107447" TargetMode="External"/>
  <ns0:Relationship Id="rId1996" Type="http://schemas.openxmlformats.org/officeDocument/2006/relationships/hyperlink" Target="https://my.zakupki.prom.ua/remote/dispatcher/state_purchase_view/20741352" TargetMode="External"/>
  <ns0:Relationship Id="rId1997" Type="http://schemas.openxmlformats.org/officeDocument/2006/relationships/hyperlink" Target="https://my.zakupki.prom.ua/remote/dispatcher/state_contracting_view/6184613" TargetMode="External"/>
  <ns0:Relationship Id="rId1998" Type="http://schemas.openxmlformats.org/officeDocument/2006/relationships/hyperlink" Target="https://my.zakupki.prom.ua/remote/dispatcher/state_purchase_view/21327858" TargetMode="External"/>
  <ns0:Relationship Id="rId1999" Type="http://schemas.openxmlformats.org/officeDocument/2006/relationships/hyperlink" Target="https://my.zakupki.prom.ua/remote/dispatcher/state_contracting_view/6459658" TargetMode="External"/>
  <ns0:Relationship Id="rId2000" Type="http://schemas.openxmlformats.org/officeDocument/2006/relationships/hyperlink" Target="https://my.zakupki.prom.ua/remote/dispatcher/state_purchase_view/21520122" TargetMode="External"/>
  <ns0:Relationship Id="rId2001" Type="http://schemas.openxmlformats.org/officeDocument/2006/relationships/hyperlink" Target="https://my.zakupki.prom.ua/remote/dispatcher/state_contracting_view/6550274" TargetMode="External"/>
</ns0:Relationships>

</file>

<file path=xl/worksheets/sheet1.xml><?xml version="1.0" encoding="utf-8"?>
<worksheet xmlns="http://schemas.openxmlformats.org/spreadsheetml/2006/main" xmlns:r="http://schemas.openxmlformats.org/officeDocument/2006/relationships">
  <sheetPr>
    <outlinePr summaryBelow="1" summaryRight="1"/>
  </sheetPr>
  <dimension ref="A1:P1006"/>
  <sheetViews>
    <sheetView workbookViewId="0">
      <pane ySplit="5" topLeftCell="A6" activePane="bottomLeft" state="frozen"/>
      <selection pane="bottomLeft" activeCell="A1" sqref="A1"/>
    </sheetView>
  </sheetViews>
  <sheetFormatPr defaultRowHeight="15" baseColWidth="10"/>
  <cols>
    <col width="5" min="1" max="1"/>
    <col width="25" min="2" max="2"/>
    <col width="25" min="3" max="3"/>
    <col width="25" min="4" max="4"/>
    <col width="60" min="5" max="5"/>
    <col width="35" min="6" max="6"/>
    <col width="35" min="7" max="7"/>
    <col width="35" min="8" max="8"/>
    <col width="30" min="9" max="9"/>
    <col width="30" min="10" max="10"/>
    <col width="15" min="11" max="11"/>
    <col width="15" min="12" max="12"/>
    <col width="15" min="13" max="13"/>
    <col width="10" min="14" max="14"/>
    <col width="10" min="15" max="15"/>
    <col width="10" min="16" max="16"/>
  </cols>
  <sheetData>
    <row r="1" spans="1:16">
      <c r="A1" t="s" s="1">
        <v>3468</v>
      </c>
    </row>
    <row r="2" spans="1:16">
      <c r="A2" t="s" s="2">
        <v>2274</v>
      </c>
    </row>
    <row r="4" spans="1:16">
      <c r="A4" t="s" s="1">
        <v>2308</v>
      </c>
    </row>
    <row r="5" spans="1:16">
      <c r="A5" t="s" s="3">
        <v>3566</v>
      </c>
      <c r="B5" t="s" s="3">
        <v>2283</v>
      </c>
      <c r="C5" t="s" s="3">
        <v>2284</v>
      </c>
      <c r="D5" t="s" s="3">
        <v>1895</v>
      </c>
      <c r="E5" t="s" s="3">
        <v>2282</v>
      </c>
      <c r="F5" t="s" s="3">
        <v>3428</v>
      </c>
      <c r="G5" t="s" s="3">
        <v>3329</v>
      </c>
      <c r="H5" t="s" s="3">
        <v>2392</v>
      </c>
      <c r="I5" t="s" s="3">
        <v>3426</v>
      </c>
      <c r="J5" t="s" s="3">
        <v>3314</v>
      </c>
      <c r="K5" t="s" s="3">
        <v>2275</v>
      </c>
      <c r="L5" t="s" s="3">
        <v>3246</v>
      </c>
      <c r="M5" t="s" s="3">
        <v>3356</v>
      </c>
      <c r="N5" t="s" s="3">
        <v>2344</v>
      </c>
      <c r="O5" t="s" s="3">
        <v>2343</v>
      </c>
      <c r="P5" t="s" s="3">
        <v>3354</v>
      </c>
    </row>
    <row r="6" spans="1:16">
      <c r="A6" t="n" s="4">
        <v>1</v>
      </c>
      <c r="B6" s="2">
        <f>HYPERLINK("https://my.zakupki.prom.ua/remote/dispatcher/state_purchase_view/16239609", "UA-2020-04-13-002701-b")</f>
        <v/>
      </c>
      <c r="C6" t="s" s="2">
        <v>3245</v>
      </c>
      <c r="D6" s="2">
        <f>HYPERLINK("https://my.zakupki.prom.ua/remote/dispatcher/state_contracting_view/4098373", "UA-2020-04-13-002701-b-b1")</f>
        <v/>
      </c>
      <c r="E6" t="s" s="1">
        <v>2236</v>
      </c>
      <c r="F6" t="s" s="1">
        <v>3323</v>
      </c>
      <c r="G6" t="s" s="1">
        <v>3323</v>
      </c>
      <c r="H6" t="s" s="1">
        <v>1379</v>
      </c>
      <c r="I6" t="s" s="1">
        <v>2361</v>
      </c>
      <c r="J6" t="s" s="1">
        <v>2372</v>
      </c>
      <c r="K6" t="s" s="1">
        <v>40</v>
      </c>
      <c r="L6" t="s" s="1">
        <v>607</v>
      </c>
      <c r="M6" t="n" s="5">
        <v>181600.0</v>
      </c>
      <c r="N6" t="n" s="7">
        <v>43931.0</v>
      </c>
      <c r="O6" t="n" s="7">
        <v>44196.0</v>
      </c>
      <c r="P6" t="s" s="1">
        <v>3474</v>
      </c>
    </row>
    <row r="7" spans="1:16">
      <c r="A7" t="n" s="4">
        <v>2</v>
      </c>
      <c r="B7" s="2">
        <f>HYPERLINK("https://my.zakupki.prom.ua/remote/dispatcher/state_purchase_view/15106387", "UA-2020-02-05-002813-b")</f>
        <v/>
      </c>
      <c r="C7" t="s" s="2">
        <v>3245</v>
      </c>
      <c r="D7" s="2">
        <f>HYPERLINK("https://my.zakupki.prom.ua/remote/dispatcher/state_contracting_view/3754610", "UA-2020-02-05-002813-b-b1")</f>
        <v/>
      </c>
      <c r="E7" t="s" s="1">
        <v>2271</v>
      </c>
      <c r="F7" t="s" s="1">
        <v>1764</v>
      </c>
      <c r="G7" t="s" s="1">
        <v>1765</v>
      </c>
      <c r="H7" t="s" s="1">
        <v>1764</v>
      </c>
      <c r="I7" t="s" s="1">
        <v>2361</v>
      </c>
      <c r="J7" t="s" s="1">
        <v>2342</v>
      </c>
      <c r="K7" t="s" s="1">
        <v>358</v>
      </c>
      <c r="L7" t="s" s="1">
        <v>231</v>
      </c>
      <c r="M7" t="n" s="5">
        <v>8694.0</v>
      </c>
      <c r="N7" t="n" s="7">
        <v>43866.0</v>
      </c>
      <c r="O7" t="n" s="7">
        <v>44196.0</v>
      </c>
      <c r="P7" t="s" s="1">
        <v>3499</v>
      </c>
    </row>
    <row r="8" spans="1:16">
      <c r="A8" t="n" s="4">
        <v>3</v>
      </c>
      <c r="B8" s="2">
        <f>HYPERLINK("https://my.zakupki.prom.ua/remote/dispatcher/state_purchase_view/15580751", "UA-2020-03-03-002566-a")</f>
        <v/>
      </c>
      <c r="C8" t="s" s="2">
        <v>3245</v>
      </c>
      <c r="D8" s="2">
        <f>HYPERLINK("https://my.zakupki.prom.ua/remote/dispatcher/state_contracting_view/3883410", "UA-2020-03-03-002566-a-a1")</f>
        <v/>
      </c>
      <c r="E8" t="s" s="1">
        <v>895</v>
      </c>
      <c r="F8" t="s" s="1">
        <v>3244</v>
      </c>
      <c r="G8" t="s" s="1">
        <v>2298</v>
      </c>
      <c r="H8" t="s" s="1">
        <v>71</v>
      </c>
      <c r="I8" t="s" s="1">
        <v>2361</v>
      </c>
      <c r="J8" t="s" s="1">
        <v>3381</v>
      </c>
      <c r="K8" t="s" s="1">
        <v>962</v>
      </c>
      <c r="L8" t="s" s="1">
        <v>2307</v>
      </c>
      <c r="M8" t="n" s="5">
        <v>197000.0</v>
      </c>
      <c r="N8" t="n" s="7">
        <v>43893.0</v>
      </c>
      <c r="O8" t="n" s="7">
        <v>44196.0</v>
      </c>
      <c r="P8" t="s" s="1">
        <v>3499</v>
      </c>
    </row>
    <row r="9" spans="1:16">
      <c r="A9" t="n" s="4">
        <v>4</v>
      </c>
      <c r="B9" s="2">
        <f>HYPERLINK("https://my.zakupki.prom.ua/remote/dispatcher/state_purchase_view/15696579", "UA-2020-03-11-001674-b")</f>
        <v/>
      </c>
      <c r="C9" t="s" s="2">
        <v>3245</v>
      </c>
      <c r="D9" s="2">
        <f>HYPERLINK("https://my.zakupki.prom.ua/remote/dispatcher/state_contracting_view/3918094", "UA-2020-03-11-001674-b-b1")</f>
        <v/>
      </c>
      <c r="E9" t="s" s="1">
        <v>1751</v>
      </c>
      <c r="F9" t="s" s="1">
        <v>3338</v>
      </c>
      <c r="G9" t="s" s="1">
        <v>3338</v>
      </c>
      <c r="H9" t="s" s="1">
        <v>666</v>
      </c>
      <c r="I9" t="s" s="1">
        <v>2361</v>
      </c>
      <c r="J9" t="s" s="1">
        <v>2292</v>
      </c>
      <c r="K9" t="s" s="1">
        <v>545</v>
      </c>
      <c r="L9" t="s" s="1">
        <v>1136</v>
      </c>
      <c r="M9" t="n" s="5">
        <v>2750.0</v>
      </c>
      <c r="N9" t="n" s="7">
        <v>43901.0</v>
      </c>
      <c r="O9" t="n" s="7">
        <v>44196.0</v>
      </c>
      <c r="P9" t="s" s="1">
        <v>3499</v>
      </c>
    </row>
    <row r="10" spans="1:16">
      <c r="A10" t="n" s="4">
        <v>5</v>
      </c>
      <c r="B10" s="2">
        <f>HYPERLINK("https://my.zakupki.prom.ua/remote/dispatcher/state_purchase_view/15694669", "UA-2020-03-11-001301-b")</f>
        <v/>
      </c>
      <c r="C10" t="s" s="2">
        <v>3245</v>
      </c>
      <c r="D10" s="2">
        <f>HYPERLINK("https://my.zakupki.prom.ua/remote/dispatcher/state_contracting_view/3917480", "UA-2020-03-11-001301-b-b1")</f>
        <v/>
      </c>
      <c r="E10" t="s" s="1">
        <v>84</v>
      </c>
      <c r="F10" t="s" s="1">
        <v>2</v>
      </c>
      <c r="G10" t="s" s="1">
        <v>2350</v>
      </c>
      <c r="H10" t="s" s="1">
        <v>875</v>
      </c>
      <c r="I10" t="s" s="1">
        <v>2361</v>
      </c>
      <c r="J10" t="s" s="1">
        <v>3417</v>
      </c>
      <c r="K10" t="s" s="1">
        <v>950</v>
      </c>
      <c r="L10" t="s" s="1">
        <v>1265</v>
      </c>
      <c r="M10" t="n" s="5">
        <v>4740.0</v>
      </c>
      <c r="N10" t="n" s="7">
        <v>43901.0</v>
      </c>
      <c r="O10" t="n" s="7">
        <v>44196.0</v>
      </c>
      <c r="P10" t="s" s="1">
        <v>3499</v>
      </c>
    </row>
    <row r="11" spans="1:16">
      <c r="A11" t="n" s="4">
        <v>6</v>
      </c>
      <c r="B11" s="2">
        <f>HYPERLINK("https://my.zakupki.prom.ua/remote/dispatcher/state_purchase_view/18275465", "UA-2020-08-03-004414-a")</f>
        <v/>
      </c>
      <c r="C11" t="s" s="2">
        <v>3245</v>
      </c>
      <c r="D11" s="2">
        <f>HYPERLINK("https://my.zakupki.prom.ua/remote/dispatcher/state_contracting_view/5013981", "UA-2020-08-03-004414-a-a1")</f>
        <v/>
      </c>
      <c r="E11" t="s" s="1">
        <v>1657</v>
      </c>
      <c r="F11" t="s" s="1">
        <v>2845</v>
      </c>
      <c r="G11" t="s" s="1">
        <v>2845</v>
      </c>
      <c r="H11" t="s" s="1">
        <v>703</v>
      </c>
      <c r="I11" t="s" s="1">
        <v>2361</v>
      </c>
      <c r="J11" t="s" s="1">
        <v>2277</v>
      </c>
      <c r="K11" t="s" s="1">
        <v>682</v>
      </c>
      <c r="L11" t="s" s="1">
        <v>2276</v>
      </c>
      <c r="M11" t="n" s="5">
        <v>6700.0</v>
      </c>
      <c r="N11" t="n" s="7">
        <v>44046.0</v>
      </c>
      <c r="O11" t="n" s="7">
        <v>44196.0</v>
      </c>
      <c r="P11" t="s" s="1">
        <v>3499</v>
      </c>
    </row>
    <row r="12" spans="1:16">
      <c r="A12" t="n" s="4">
        <v>7</v>
      </c>
      <c r="B12" s="2">
        <f>HYPERLINK("https://my.zakupki.prom.ua/remote/dispatcher/state_purchase_view/18196149", "UA-2020-07-29-006202-c")</f>
        <v/>
      </c>
      <c r="C12" t="s" s="2">
        <v>3245</v>
      </c>
      <c r="D12" s="2">
        <f>HYPERLINK("https://my.zakupki.prom.ua/remote/dispatcher/state_contracting_view/4978180", "UA-2020-07-29-006202-c-c1")</f>
        <v/>
      </c>
      <c r="E12" t="s" s="1">
        <v>745</v>
      </c>
      <c r="F12" t="s" s="1">
        <v>2936</v>
      </c>
      <c r="G12" t="s" s="1">
        <v>2936</v>
      </c>
      <c r="H12" t="s" s="1">
        <v>725</v>
      </c>
      <c r="I12" t="s" s="1">
        <v>2361</v>
      </c>
      <c r="J12" t="s" s="1">
        <v>3402</v>
      </c>
      <c r="K12" t="s" s="1">
        <v>375</v>
      </c>
      <c r="L12" t="s" s="1">
        <v>417</v>
      </c>
      <c r="M12" t="n" s="5">
        <v>3809.2</v>
      </c>
      <c r="N12" t="n" s="7">
        <v>44041.0</v>
      </c>
      <c r="O12" t="n" s="7">
        <v>44196.0</v>
      </c>
      <c r="P12" t="s" s="1">
        <v>3499</v>
      </c>
    </row>
    <row r="13" spans="1:16">
      <c r="A13" t="n" s="4">
        <v>8</v>
      </c>
      <c r="B13" s="2">
        <f>HYPERLINK("https://my.zakupki.prom.ua/remote/dispatcher/state_purchase_view/18128125", "UA-2020-07-27-001278-c")</f>
        <v/>
      </c>
      <c r="C13" t="s" s="2">
        <v>3245</v>
      </c>
      <c r="D13" s="2">
        <f>HYPERLINK("https://my.zakupki.prom.ua/remote/dispatcher/state_contracting_view/5003262", "UA-2020-07-27-001278-c-c1")</f>
        <v/>
      </c>
      <c r="E13" t="s" s="1">
        <v>1292</v>
      </c>
      <c r="F13" t="s" s="1">
        <v>2866</v>
      </c>
      <c r="G13" t="s" s="1">
        <v>3479</v>
      </c>
      <c r="H13" t="s" s="1">
        <v>718</v>
      </c>
      <c r="I13" t="s" s="1">
        <v>3313</v>
      </c>
      <c r="J13" t="s" s="1">
        <v>3302</v>
      </c>
      <c r="K13" t="s" s="1">
        <v>617</v>
      </c>
      <c r="L13" t="s" s="1">
        <v>1358</v>
      </c>
      <c r="M13" t="n" s="5">
        <v>52031.8</v>
      </c>
      <c r="N13" t="n" s="7">
        <v>44046.0</v>
      </c>
      <c r="O13" t="n" s="7">
        <v>44196.0</v>
      </c>
      <c r="P13" t="s" s="1">
        <v>3499</v>
      </c>
    </row>
    <row r="14" spans="1:16">
      <c r="A14" t="n" s="4">
        <v>9</v>
      </c>
      <c r="B14" s="2">
        <f>HYPERLINK("https://my.zakupki.prom.ua/remote/dispatcher/state_purchase_view/18365048", "UA-2020-08-06-005115-a")</f>
        <v/>
      </c>
      <c r="C14" t="s" s="2">
        <v>3245</v>
      </c>
      <c r="D14" s="2">
        <f>HYPERLINK("https://my.zakupki.prom.ua/remote/dispatcher/state_contracting_view/5055272", "UA-2020-08-06-005115-a-a1")</f>
        <v/>
      </c>
      <c r="E14" t="s" s="1">
        <v>1595</v>
      </c>
      <c r="F14" t="s" s="1">
        <v>2527</v>
      </c>
      <c r="G14" t="s" s="1">
        <v>2527</v>
      </c>
      <c r="H14" t="s" s="1">
        <v>39</v>
      </c>
      <c r="I14" t="s" s="1">
        <v>2361</v>
      </c>
      <c r="J14" t="s" s="1">
        <v>3467</v>
      </c>
      <c r="K14" t="s" s="1">
        <v>766</v>
      </c>
      <c r="L14" t="s" s="1">
        <v>985</v>
      </c>
      <c r="M14" t="n" s="5">
        <v>1139.0</v>
      </c>
      <c r="N14" t="n" s="7">
        <v>44049.0</v>
      </c>
      <c r="O14" t="n" s="7">
        <v>44196.0</v>
      </c>
      <c r="P14" t="s" s="1">
        <v>3499</v>
      </c>
    </row>
    <row r="15" spans="1:16">
      <c r="A15" t="n" s="4">
        <v>10</v>
      </c>
      <c r="B15" s="2">
        <f>HYPERLINK("https://my.zakupki.prom.ua/remote/dispatcher/state_purchase_view/18475580", "UA-2020-08-12-000619-a")</f>
        <v/>
      </c>
      <c r="C15" t="s" s="2">
        <v>3245</v>
      </c>
      <c r="D15" s="2">
        <f>HYPERLINK("https://my.zakupki.prom.ua/remote/dispatcher/state_contracting_view/5107295", "UA-2020-08-12-000619-a-a1")</f>
        <v/>
      </c>
      <c r="E15" t="s" s="1">
        <v>1538</v>
      </c>
      <c r="F15" t="s" s="1">
        <v>2907</v>
      </c>
      <c r="G15" t="s" s="1">
        <v>3546</v>
      </c>
      <c r="H15" t="s" s="1">
        <v>718</v>
      </c>
      <c r="I15" t="s" s="1">
        <v>2361</v>
      </c>
      <c r="J15" t="s" s="1">
        <v>3392</v>
      </c>
      <c r="K15" t="s" s="1">
        <v>428</v>
      </c>
      <c r="L15" t="s" s="1">
        <v>1058</v>
      </c>
      <c r="M15" t="n" s="5">
        <v>964.9</v>
      </c>
      <c r="N15" t="n" s="7">
        <v>44055.0</v>
      </c>
      <c r="O15" t="n" s="7">
        <v>44196.0</v>
      </c>
      <c r="P15" t="s" s="1">
        <v>3499</v>
      </c>
    </row>
    <row r="16" spans="1:16">
      <c r="A16" t="n" s="4">
        <v>11</v>
      </c>
      <c r="B16" s="2">
        <f>HYPERLINK("https://my.zakupki.prom.ua/remote/dispatcher/state_purchase_view/18487867", "UA-2020-08-12-004004-a")</f>
        <v/>
      </c>
      <c r="C16" t="s" s="2">
        <v>3245</v>
      </c>
      <c r="D16" s="2">
        <f>HYPERLINK("https://my.zakupki.prom.ua/remote/dispatcher/state_contracting_view/5113157", "UA-2020-08-12-004004-a-a1")</f>
        <v/>
      </c>
      <c r="E16" t="s" s="1">
        <v>2251</v>
      </c>
      <c r="F16" t="s" s="1">
        <v>2421</v>
      </c>
      <c r="G16" t="s" s="1">
        <v>2421</v>
      </c>
      <c r="H16" t="s" s="1">
        <v>734</v>
      </c>
      <c r="I16" t="s" s="1">
        <v>2361</v>
      </c>
      <c r="J16" t="s" s="1">
        <v>2371</v>
      </c>
      <c r="K16" t="s" s="1">
        <v>183</v>
      </c>
      <c r="L16" t="s" s="1">
        <v>3190</v>
      </c>
      <c r="M16" t="n" s="5">
        <v>1320.0</v>
      </c>
      <c r="N16" t="n" s="7">
        <v>44055.0</v>
      </c>
      <c r="O16" t="n" s="7">
        <v>44196.0</v>
      </c>
      <c r="P16" t="s" s="1">
        <v>3499</v>
      </c>
    </row>
    <row r="17" spans="1:16">
      <c r="A17" t="n" s="4">
        <v>12</v>
      </c>
      <c r="B17" s="2">
        <f>HYPERLINK("https://my.zakupki.prom.ua/remote/dispatcher/state_purchase_view/18351036", "UA-2020-08-06-001518-a")</f>
        <v/>
      </c>
      <c r="C17" t="s" s="2">
        <v>3245</v>
      </c>
      <c r="D17" s="2">
        <f>HYPERLINK("https://my.zakupki.prom.ua/remote/dispatcher/state_contracting_view/5113179", "UA-2020-08-06-001518-a-a1")</f>
        <v/>
      </c>
      <c r="E17" t="s" s="1">
        <v>801</v>
      </c>
      <c r="F17" t="s" s="1">
        <v>2834</v>
      </c>
      <c r="G17" t="s" s="1">
        <v>2834</v>
      </c>
      <c r="H17" t="s" s="1">
        <v>703</v>
      </c>
      <c r="I17" t="s" s="1">
        <v>3313</v>
      </c>
      <c r="J17" t="s" s="1">
        <v>3409</v>
      </c>
      <c r="K17" t="s" s="1">
        <v>823</v>
      </c>
      <c r="L17" t="s" s="1">
        <v>364</v>
      </c>
      <c r="M17" t="n" s="5">
        <v>10272.0</v>
      </c>
      <c r="N17" t="n" s="7">
        <v>44055.0</v>
      </c>
      <c r="O17" t="n" s="7">
        <v>44196.0</v>
      </c>
      <c r="P17" t="s" s="1">
        <v>3499</v>
      </c>
    </row>
    <row r="18" spans="1:16">
      <c r="A18" t="n" s="4">
        <v>13</v>
      </c>
      <c r="B18" s="2">
        <f>HYPERLINK("https://my.zakupki.prom.ua/remote/dispatcher/state_purchase_view/17035510", "UA-2020-06-03-007845-b")</f>
        <v/>
      </c>
      <c r="C18" t="s" s="2">
        <v>3245</v>
      </c>
      <c r="D18" s="2">
        <f>HYPERLINK("https://my.zakupki.prom.ua/remote/dispatcher/state_contracting_view/4439009", "UA-2020-06-03-007845-b-b1")</f>
        <v/>
      </c>
      <c r="E18" t="s" s="1">
        <v>1287</v>
      </c>
      <c r="F18" t="s" s="1">
        <v>2475</v>
      </c>
      <c r="G18" t="s" s="1">
        <v>2475</v>
      </c>
      <c r="H18" t="s" s="1">
        <v>718</v>
      </c>
      <c r="I18" t="s" s="1">
        <v>2361</v>
      </c>
      <c r="J18" t="s" s="1">
        <v>3392</v>
      </c>
      <c r="K18" t="s" s="1">
        <v>428</v>
      </c>
      <c r="L18" t="s" s="1">
        <v>251</v>
      </c>
      <c r="M18" t="n" s="5">
        <v>10054.35</v>
      </c>
      <c r="N18" t="n" s="7">
        <v>43983.0</v>
      </c>
      <c r="O18" t="n" s="7">
        <v>44196.0</v>
      </c>
      <c r="P18" t="s" s="1">
        <v>3499</v>
      </c>
    </row>
    <row r="19" spans="1:16">
      <c r="A19" t="n" s="4">
        <v>14</v>
      </c>
      <c r="B19" s="2">
        <f>HYPERLINK("https://my.zakupki.prom.ua/remote/dispatcher/state_purchase_view/16489420", "UA-2020-04-28-000894-b")</f>
        <v/>
      </c>
      <c r="C19" t="s" s="2">
        <v>3245</v>
      </c>
      <c r="D19" s="2">
        <f>HYPERLINK("https://my.zakupki.prom.ua/remote/dispatcher/state_contracting_view/4196660", "UA-2020-04-28-000894-b-b1")</f>
        <v/>
      </c>
      <c r="E19" t="s" s="1">
        <v>2131</v>
      </c>
      <c r="F19" t="s" s="1">
        <v>2300</v>
      </c>
      <c r="G19" t="s" s="1">
        <v>2300</v>
      </c>
      <c r="H19" t="s" s="1">
        <v>1003</v>
      </c>
      <c r="I19" t="s" s="1">
        <v>2361</v>
      </c>
      <c r="J19" t="s" s="1">
        <v>3251</v>
      </c>
      <c r="K19" t="s" s="1">
        <v>486</v>
      </c>
      <c r="L19" t="s" s="1">
        <v>180</v>
      </c>
      <c r="M19" t="n" s="5">
        <v>24661.95</v>
      </c>
      <c r="N19" t="n" s="7">
        <v>43946.0</v>
      </c>
      <c r="O19" t="n" s="7">
        <v>44196.0</v>
      </c>
      <c r="P19" t="s" s="1">
        <v>3499</v>
      </c>
    </row>
    <row r="20" spans="1:16">
      <c r="A20" t="n" s="4">
        <v>15</v>
      </c>
      <c r="B20" s="2">
        <f>HYPERLINK("https://my.zakupki.prom.ua/remote/dispatcher/state_purchase_view/19321397", "UA-2020-09-16-005197-a")</f>
        <v/>
      </c>
      <c r="C20" t="s" s="2">
        <v>3245</v>
      </c>
      <c r="D20" s="2">
        <f>HYPERLINK("https://my.zakupki.prom.ua/remote/dispatcher/state_contracting_view/5508484", "UA-2020-09-16-005197-a-a1")</f>
        <v/>
      </c>
      <c r="E20" t="s" s="1">
        <v>315</v>
      </c>
      <c r="F20" t="s" s="1">
        <v>3114</v>
      </c>
      <c r="G20" t="s" s="1">
        <v>3114</v>
      </c>
      <c r="H20" t="s" s="1">
        <v>1490</v>
      </c>
      <c r="I20" t="s" s="1">
        <v>2361</v>
      </c>
      <c r="J20" t="s" s="1">
        <v>3298</v>
      </c>
      <c r="K20" t="s" s="1">
        <v>395</v>
      </c>
      <c r="L20" t="s" s="1">
        <v>913</v>
      </c>
      <c r="M20" t="n" s="5">
        <v>679.0</v>
      </c>
      <c r="N20" t="n" s="7">
        <v>44090.0</v>
      </c>
      <c r="O20" t="n" s="7">
        <v>44196.0</v>
      </c>
      <c r="P20" t="s" s="1">
        <v>3499</v>
      </c>
    </row>
    <row r="21" spans="1:16">
      <c r="A21" t="n" s="4">
        <v>16</v>
      </c>
      <c r="B21" s="2">
        <f>HYPERLINK("https://my.zakupki.prom.ua/remote/dispatcher/state_purchase_view/19351348", "UA-2020-09-17-002763-a")</f>
        <v/>
      </c>
      <c r="C21" t="s" s="2">
        <v>3245</v>
      </c>
      <c r="D21" s="2">
        <f>HYPERLINK("https://my.zakupki.prom.ua/remote/dispatcher/state_contracting_view/5522348", "UA-2020-09-17-002763-a-a1")</f>
        <v/>
      </c>
      <c r="E21" t="s" s="1">
        <v>1676</v>
      </c>
      <c r="F21" t="s" s="1">
        <v>2539</v>
      </c>
      <c r="G21" t="s" s="1">
        <v>2539</v>
      </c>
      <c r="H21" t="s" s="1">
        <v>207</v>
      </c>
      <c r="I21" t="s" s="1">
        <v>2361</v>
      </c>
      <c r="J21" t="s" s="1">
        <v>3467</v>
      </c>
      <c r="K21" t="s" s="1">
        <v>766</v>
      </c>
      <c r="L21" t="s" s="1">
        <v>1334</v>
      </c>
      <c r="M21" t="n" s="5">
        <v>16799.0</v>
      </c>
      <c r="N21" t="n" s="7">
        <v>44089.0</v>
      </c>
      <c r="O21" t="n" s="7">
        <v>44196.0</v>
      </c>
      <c r="P21" t="s" s="1">
        <v>3499</v>
      </c>
    </row>
    <row r="22" spans="1:16">
      <c r="A22" t="n" s="4">
        <v>17</v>
      </c>
      <c r="B22" s="2">
        <f>HYPERLINK("https://my.zakupki.prom.ua/remote/dispatcher/state_purchase_view/19063008", "UA-2020-09-07-006835-b")</f>
        <v/>
      </c>
      <c r="C22" t="s" s="2">
        <v>3245</v>
      </c>
      <c r="D22" s="2">
        <f>HYPERLINK("https://my.zakupki.prom.ua/remote/dispatcher/state_contracting_view/5385995", "UA-2020-09-07-006835-b-b1")</f>
        <v/>
      </c>
      <c r="E22" t="s" s="1">
        <v>1509</v>
      </c>
      <c r="F22" t="s" s="1">
        <v>3143</v>
      </c>
      <c r="G22" t="s" s="1">
        <v>3143</v>
      </c>
      <c r="H22" t="s" s="1">
        <v>1665</v>
      </c>
      <c r="I22" t="s" s="1">
        <v>2361</v>
      </c>
      <c r="J22" t="s" s="1">
        <v>2318</v>
      </c>
      <c r="K22" t="s" s="1">
        <v>832</v>
      </c>
      <c r="L22" t="s" s="1">
        <v>1430</v>
      </c>
      <c r="M22" t="n" s="5">
        <v>395.62</v>
      </c>
      <c r="N22" t="n" s="7">
        <v>44081.0</v>
      </c>
      <c r="O22" t="n" s="7">
        <v>44196.0</v>
      </c>
      <c r="P22" t="s" s="1">
        <v>3499</v>
      </c>
    </row>
    <row r="23" spans="1:16">
      <c r="A23" t="n" s="4">
        <v>18</v>
      </c>
      <c r="B23" s="2">
        <f>HYPERLINK("https://my.zakupki.prom.ua/remote/dispatcher/state_purchase_view/19219497", "UA-2020-09-11-010772-b")</f>
        <v/>
      </c>
      <c r="C23" t="s" s="2">
        <v>3245</v>
      </c>
      <c r="D23" s="2">
        <f>HYPERLINK("https://my.zakupki.prom.ua/remote/dispatcher/state_contracting_view/5459643", "UA-2020-09-11-010772-b-b1")</f>
        <v/>
      </c>
      <c r="E23" t="s" s="1">
        <v>1236</v>
      </c>
      <c r="F23" t="s" s="1">
        <v>3059</v>
      </c>
      <c r="G23" t="s" s="1">
        <v>3059</v>
      </c>
      <c r="H23" t="s" s="1">
        <v>1016</v>
      </c>
      <c r="I23" t="s" s="1">
        <v>2361</v>
      </c>
      <c r="J23" t="s" s="1">
        <v>3251</v>
      </c>
      <c r="K23" t="s" s="1">
        <v>486</v>
      </c>
      <c r="L23" t="s" s="1">
        <v>1276</v>
      </c>
      <c r="M23" t="n" s="5">
        <v>5193.6</v>
      </c>
      <c r="N23" t="n" s="7">
        <v>44085.0</v>
      </c>
      <c r="O23" t="n" s="7">
        <v>44196.0</v>
      </c>
      <c r="P23" t="s" s="1">
        <v>3499</v>
      </c>
    </row>
    <row r="24" spans="1:16">
      <c r="A24" t="n" s="4">
        <v>19</v>
      </c>
      <c r="B24" s="2">
        <f>HYPERLINK("https://my.zakupki.prom.ua/remote/dispatcher/state_purchase_view/19230854", "UA-2020-09-14-000421-b")</f>
        <v/>
      </c>
      <c r="C24" t="s" s="2">
        <v>3245</v>
      </c>
      <c r="D24" s="2">
        <f>HYPERLINK("https://my.zakupki.prom.ua/remote/dispatcher/state_contracting_view/5465490", "UA-2020-09-14-000421-b-b1")</f>
        <v/>
      </c>
      <c r="E24" t="s" s="1">
        <v>2260</v>
      </c>
      <c r="F24" t="s" s="1">
        <v>2945</v>
      </c>
      <c r="G24" t="s" s="1">
        <v>3548</v>
      </c>
      <c r="H24" t="s" s="1">
        <v>725</v>
      </c>
      <c r="I24" t="s" s="1">
        <v>2361</v>
      </c>
      <c r="J24" t="s" s="1">
        <v>3302</v>
      </c>
      <c r="K24" t="s" s="1">
        <v>617</v>
      </c>
      <c r="L24" t="s" s="1">
        <v>1632</v>
      </c>
      <c r="M24" t="n" s="5">
        <v>96637.2</v>
      </c>
      <c r="N24" t="n" s="7">
        <v>44084.0</v>
      </c>
      <c r="O24" t="n" s="7">
        <v>44196.0</v>
      </c>
      <c r="P24" t="s" s="1">
        <v>3499</v>
      </c>
    </row>
    <row r="25" spans="1:16">
      <c r="A25" t="n" s="4">
        <v>20</v>
      </c>
      <c r="B25" s="2">
        <f>HYPERLINK("https://my.zakupki.prom.ua/remote/dispatcher/state_purchase_view/19119515", "UA-2020-09-09-002151-b")</f>
        <v/>
      </c>
      <c r="C25" t="s" s="2">
        <v>3245</v>
      </c>
      <c r="D25" s="2">
        <f>HYPERLINK("https://my.zakupki.prom.ua/remote/dispatcher/state_contracting_view/5412356", "UA-2020-09-09-002151-b-b1")</f>
        <v/>
      </c>
      <c r="E25" t="s" s="1">
        <v>559</v>
      </c>
      <c r="F25" t="s" s="1">
        <v>2598</v>
      </c>
      <c r="G25" t="s" s="1">
        <v>2598</v>
      </c>
      <c r="H25" t="s" s="1">
        <v>221</v>
      </c>
      <c r="I25" t="s" s="1">
        <v>2361</v>
      </c>
      <c r="J25" t="s" s="1">
        <v>3467</v>
      </c>
      <c r="K25" t="s" s="1">
        <v>766</v>
      </c>
      <c r="L25" t="s" s="1">
        <v>1254</v>
      </c>
      <c r="M25" t="n" s="5">
        <v>4624.0</v>
      </c>
      <c r="N25" t="n" s="7">
        <v>44081.0</v>
      </c>
      <c r="O25" t="n" s="7">
        <v>44196.0</v>
      </c>
      <c r="P25" t="s" s="1">
        <v>3499</v>
      </c>
    </row>
    <row r="26" spans="1:16">
      <c r="A26" t="n" s="4">
        <v>21</v>
      </c>
      <c r="B26" s="2">
        <f>HYPERLINK("https://my.zakupki.prom.ua/remote/dispatcher/state_purchase_view/19424999", "UA-2020-09-21-000230-b")</f>
        <v/>
      </c>
      <c r="C26" t="s" s="2">
        <v>3245</v>
      </c>
      <c r="D26" s="2">
        <f>HYPERLINK("https://my.zakupki.prom.ua/remote/dispatcher/state_contracting_view/5557485", "UA-2020-09-21-000230-b-b1")</f>
        <v/>
      </c>
      <c r="E26" t="s" s="1">
        <v>211</v>
      </c>
      <c r="F26" t="s" s="1">
        <v>2654</v>
      </c>
      <c r="G26" t="s" s="1">
        <v>2654</v>
      </c>
      <c r="H26" t="s" s="1">
        <v>441</v>
      </c>
      <c r="I26" t="s" s="1">
        <v>2361</v>
      </c>
      <c r="J26" t="s" s="1">
        <v>3392</v>
      </c>
      <c r="K26" t="s" s="1">
        <v>428</v>
      </c>
      <c r="L26" t="s" s="1">
        <v>1352</v>
      </c>
      <c r="M26" t="n" s="5">
        <v>433.4</v>
      </c>
      <c r="N26" t="n" s="7">
        <v>44095.0</v>
      </c>
      <c r="O26" t="n" s="7">
        <v>44196.0</v>
      </c>
      <c r="P26" t="s" s="1">
        <v>3499</v>
      </c>
    </row>
    <row r="27" spans="1:16">
      <c r="A27" t="n" s="4">
        <v>22</v>
      </c>
      <c r="B27" s="2">
        <f>HYPERLINK("https://my.zakupki.prom.ua/remote/dispatcher/state_purchase_view/19426435", "UA-2020-09-21-000750-b")</f>
        <v/>
      </c>
      <c r="C27" t="s" s="2">
        <v>3245</v>
      </c>
      <c r="D27" s="2">
        <f>HYPERLINK("https://my.zakupki.prom.ua/remote/dispatcher/state_contracting_view/5558426", "UA-2020-09-21-000750-b-b1")</f>
        <v/>
      </c>
      <c r="E27" t="s" s="1">
        <v>1647</v>
      </c>
      <c r="F27" t="s" s="1">
        <v>2899</v>
      </c>
      <c r="G27" t="s" s="1">
        <v>3529</v>
      </c>
      <c r="H27" t="s" s="1">
        <v>718</v>
      </c>
      <c r="I27" t="s" s="1">
        <v>2361</v>
      </c>
      <c r="J27" t="s" s="1">
        <v>3392</v>
      </c>
      <c r="K27" t="s" s="1">
        <v>428</v>
      </c>
      <c r="L27" t="s" s="1">
        <v>1354</v>
      </c>
      <c r="M27" t="n" s="5">
        <v>193957.87</v>
      </c>
      <c r="N27" t="n" s="7">
        <v>44095.0</v>
      </c>
      <c r="O27" t="n" s="7">
        <v>44196.0</v>
      </c>
      <c r="P27" t="s" s="1">
        <v>3499</v>
      </c>
    </row>
    <row r="28" spans="1:16">
      <c r="A28" t="n" s="4">
        <v>23</v>
      </c>
      <c r="B28" s="2">
        <f>HYPERLINK("https://my.zakupki.prom.ua/remote/dispatcher/state_purchase_view/19196855", "UA-2020-09-11-002356-b")</f>
        <v/>
      </c>
      <c r="C28" t="s" s="2">
        <v>3245</v>
      </c>
      <c r="D28" s="2">
        <f>HYPERLINK("https://my.zakupki.prom.ua/remote/dispatcher/state_contracting_view/5448911", "UA-2020-09-11-002356-b-b1")</f>
        <v/>
      </c>
      <c r="E28" t="s" s="1">
        <v>1451</v>
      </c>
      <c r="F28" t="s" s="1">
        <v>3027</v>
      </c>
      <c r="G28" t="s" s="1">
        <v>3027</v>
      </c>
      <c r="H28" t="s" s="1">
        <v>868</v>
      </c>
      <c r="I28" t="s" s="1">
        <v>2361</v>
      </c>
      <c r="J28" t="s" s="1">
        <v>3251</v>
      </c>
      <c r="K28" t="s" s="1">
        <v>486</v>
      </c>
      <c r="L28" t="s" s="1">
        <v>1267</v>
      </c>
      <c r="M28" t="n" s="5">
        <v>16281.0</v>
      </c>
      <c r="N28" t="n" s="7">
        <v>44085.0</v>
      </c>
      <c r="O28" t="n" s="7">
        <v>44196.0</v>
      </c>
      <c r="P28" t="s" s="1">
        <v>3499</v>
      </c>
    </row>
    <row r="29" spans="1:16">
      <c r="A29" t="n" s="4">
        <v>24</v>
      </c>
      <c r="B29" s="2">
        <f>HYPERLINK("https://my.zakupki.prom.ua/remote/dispatcher/state_purchase_view/19635918", "UA-2020-09-28-000432-a")</f>
        <v/>
      </c>
      <c r="C29" t="s" s="2">
        <v>3245</v>
      </c>
      <c r="D29" s="2">
        <f>HYPERLINK("https://my.zakupki.prom.ua/remote/dispatcher/state_contracting_view/5658932", "UA-2020-09-28-000432-a-a1")</f>
        <v/>
      </c>
      <c r="E29" t="s" s="1">
        <v>68</v>
      </c>
      <c r="F29" t="s" s="1">
        <v>2613</v>
      </c>
      <c r="G29" t="s" s="1">
        <v>2613</v>
      </c>
      <c r="H29" t="s" s="1">
        <v>225</v>
      </c>
      <c r="I29" t="s" s="1">
        <v>2361</v>
      </c>
      <c r="J29" t="s" s="1">
        <v>3467</v>
      </c>
      <c r="K29" t="s" s="1">
        <v>766</v>
      </c>
      <c r="L29" t="s" s="1">
        <v>1386</v>
      </c>
      <c r="M29" t="n" s="5">
        <v>1540.0</v>
      </c>
      <c r="N29" t="n" s="7">
        <v>44099.0</v>
      </c>
      <c r="O29" t="n" s="7">
        <v>44196.0</v>
      </c>
      <c r="P29" t="s" s="1">
        <v>3499</v>
      </c>
    </row>
    <row r="30" spans="1:16">
      <c r="A30" t="n" s="4">
        <v>25</v>
      </c>
      <c r="B30" s="2">
        <f>HYPERLINK("https://my.zakupki.prom.ua/remote/dispatcher/state_purchase_view/18395448", "UA-2020-08-07-004538-a")</f>
        <v/>
      </c>
      <c r="C30" t="s" s="2">
        <v>3245</v>
      </c>
      <c r="D30" s="2">
        <f>HYPERLINK("https://my.zakupki.prom.ua/remote/dispatcher/state_contracting_view/5069953", "UA-2020-08-07-004538-a-a1")</f>
        <v/>
      </c>
      <c r="E30" t="s" s="1">
        <v>1724</v>
      </c>
      <c r="F30" t="s" s="1">
        <v>2816</v>
      </c>
      <c r="G30" t="s" s="1">
        <v>2816</v>
      </c>
      <c r="H30" t="s" s="1">
        <v>694</v>
      </c>
      <c r="I30" t="s" s="1">
        <v>2361</v>
      </c>
      <c r="J30" t="s" s="1">
        <v>3415</v>
      </c>
      <c r="K30" t="s" s="1">
        <v>878</v>
      </c>
      <c r="L30" t="s" s="1">
        <v>3449</v>
      </c>
      <c r="M30" t="n" s="5">
        <v>246000.0</v>
      </c>
      <c r="N30" t="n" s="7">
        <v>44050.0</v>
      </c>
      <c r="O30" t="n" s="7">
        <v>44196.0</v>
      </c>
      <c r="P30" t="s" s="1">
        <v>3499</v>
      </c>
    </row>
    <row r="31" spans="1:16">
      <c r="A31" t="n" s="4">
        <v>26</v>
      </c>
      <c r="B31" s="2">
        <f>HYPERLINK("https://my.zakupki.prom.ua/remote/dispatcher/state_purchase_view/18846776", "UA-2020-08-28-000403-c")</f>
        <v/>
      </c>
      <c r="C31" t="s" s="2">
        <v>3245</v>
      </c>
      <c r="D31" s="2">
        <f>HYPERLINK("https://my.zakupki.prom.ua/remote/dispatcher/state_contracting_view/5284613", "UA-2020-08-28-000403-c-c1")</f>
        <v/>
      </c>
      <c r="E31" t="s" s="1">
        <v>1077</v>
      </c>
      <c r="F31" t="s" s="1">
        <v>2534</v>
      </c>
      <c r="G31" t="s" s="1">
        <v>2534</v>
      </c>
      <c r="H31" t="s" s="1">
        <v>198</v>
      </c>
      <c r="I31" t="s" s="1">
        <v>2361</v>
      </c>
      <c r="J31" t="s" s="1">
        <v>2370</v>
      </c>
      <c r="K31" t="s" s="1">
        <v>360</v>
      </c>
      <c r="L31" t="s" s="1">
        <v>1198</v>
      </c>
      <c r="M31" t="n" s="5">
        <v>4210.08</v>
      </c>
      <c r="N31" t="n" s="7">
        <v>44070.0</v>
      </c>
      <c r="O31" t="n" s="7">
        <v>44196.0</v>
      </c>
      <c r="P31" t="s" s="1">
        <v>3499</v>
      </c>
    </row>
    <row r="32" spans="1:16">
      <c r="A32" t="n" s="4">
        <v>27</v>
      </c>
      <c r="B32" s="2">
        <f>HYPERLINK("https://my.zakupki.prom.ua/remote/dispatcher/state_purchase_view/18616369", "UA-2020-08-18-002485-a")</f>
        <v/>
      </c>
      <c r="C32" t="s" s="2">
        <v>3245</v>
      </c>
      <c r="D32" s="2">
        <f>HYPERLINK("https://my.zakupki.prom.ua/remote/dispatcher/state_contracting_view/5173455", "UA-2020-08-18-002485-a-a1")</f>
        <v/>
      </c>
      <c r="E32" t="s" s="1">
        <v>886</v>
      </c>
      <c r="F32" t="s" s="1">
        <v>2828</v>
      </c>
      <c r="G32" t="s" s="1">
        <v>2828</v>
      </c>
      <c r="H32" t="s" s="1">
        <v>703</v>
      </c>
      <c r="I32" t="s" s="1">
        <v>2361</v>
      </c>
      <c r="J32" t="s" s="1">
        <v>3461</v>
      </c>
      <c r="K32" t="s" s="1">
        <v>534</v>
      </c>
      <c r="L32" t="s" s="1">
        <v>1101</v>
      </c>
      <c r="M32" t="n" s="5">
        <v>116328.0</v>
      </c>
      <c r="N32" t="n" s="7">
        <v>44061.0</v>
      </c>
      <c r="O32" t="n" s="7">
        <v>44196.0</v>
      </c>
      <c r="P32" t="s" s="1">
        <v>3499</v>
      </c>
    </row>
    <row r="33" spans="1:16">
      <c r="A33" t="n" s="4">
        <v>28</v>
      </c>
      <c r="B33" s="2">
        <f>HYPERLINK("https://my.zakupki.prom.ua/remote/dispatcher/state_purchase_view/18650055", "UA-2020-08-19-002444-a")</f>
        <v/>
      </c>
      <c r="C33" t="s" s="2">
        <v>3245</v>
      </c>
      <c r="D33" s="2">
        <f>HYPERLINK("https://my.zakupki.prom.ua/remote/dispatcher/state_contracting_view/5189264", "UA-2020-08-19-002444-a-a1")</f>
        <v/>
      </c>
      <c r="E33" t="s" s="1">
        <v>1259</v>
      </c>
      <c r="F33" t="s" s="1">
        <v>3004</v>
      </c>
      <c r="G33" t="s" s="1">
        <v>3004</v>
      </c>
      <c r="H33" t="s" s="1">
        <v>848</v>
      </c>
      <c r="I33" t="s" s="1">
        <v>2361</v>
      </c>
      <c r="J33" t="s" s="1">
        <v>3467</v>
      </c>
      <c r="K33" t="s" s="1">
        <v>766</v>
      </c>
      <c r="L33" t="s" s="1">
        <v>1153</v>
      </c>
      <c r="M33" t="n" s="5">
        <v>2125.5</v>
      </c>
      <c r="N33" t="n" s="7">
        <v>44060.0</v>
      </c>
      <c r="O33" t="n" s="7">
        <v>44196.0</v>
      </c>
      <c r="P33" t="s" s="1">
        <v>3499</v>
      </c>
    </row>
    <row r="34" spans="1:16">
      <c r="A34" t="n" s="4">
        <v>29</v>
      </c>
      <c r="B34" s="2">
        <f>HYPERLINK("https://my.zakupki.prom.ua/remote/dispatcher/state_purchase_view/18934869", "UA-2020-09-02-002197-b")</f>
        <v/>
      </c>
      <c r="C34" t="s" s="2">
        <v>3245</v>
      </c>
      <c r="D34" s="2">
        <f>HYPERLINK("https://my.zakupki.prom.ua/remote/dispatcher/state_contracting_view/5328539", "UA-2020-09-02-002197-b-b1")</f>
        <v/>
      </c>
      <c r="E34" t="s" s="1">
        <v>181</v>
      </c>
      <c r="F34" t="s" s="1">
        <v>2914</v>
      </c>
      <c r="G34" t="s" s="1">
        <v>3550</v>
      </c>
      <c r="H34" t="s" s="1">
        <v>718</v>
      </c>
      <c r="I34" t="s" s="1">
        <v>2361</v>
      </c>
      <c r="J34" t="s" s="1">
        <v>3392</v>
      </c>
      <c r="K34" t="s" s="1">
        <v>428</v>
      </c>
      <c r="L34" t="s" s="1">
        <v>1205</v>
      </c>
      <c r="M34" t="n" s="5">
        <v>329303.99</v>
      </c>
      <c r="N34" t="n" s="7">
        <v>44076.0</v>
      </c>
      <c r="O34" t="n" s="7">
        <v>44196.0</v>
      </c>
      <c r="P34" t="s" s="1">
        <v>3499</v>
      </c>
    </row>
    <row r="35" spans="1:16">
      <c r="A35" t="n" s="4">
        <v>30</v>
      </c>
      <c r="B35" s="2">
        <f>HYPERLINK("https://my.zakupki.prom.ua/remote/dispatcher/state_purchase_view/18791784", "UA-2020-08-26-004090-a")</f>
        <v/>
      </c>
      <c r="C35" t="s" s="2">
        <v>3245</v>
      </c>
      <c r="D35" s="2">
        <f>HYPERLINK("https://my.zakupki.prom.ua/remote/dispatcher/state_contracting_view/5258072", "UA-2020-08-26-004090-a-a1")</f>
        <v/>
      </c>
      <c r="E35" t="s" s="1">
        <v>885</v>
      </c>
      <c r="F35" t="s" s="1">
        <v>2571</v>
      </c>
      <c r="G35" t="s" s="1">
        <v>2571</v>
      </c>
      <c r="H35" t="s" s="1">
        <v>216</v>
      </c>
      <c r="I35" t="s" s="1">
        <v>2361</v>
      </c>
      <c r="J35" t="s" s="1">
        <v>3467</v>
      </c>
      <c r="K35" t="s" s="1">
        <v>766</v>
      </c>
      <c r="L35" t="s" s="1">
        <v>1182</v>
      </c>
      <c r="M35" t="n" s="5">
        <v>862.5</v>
      </c>
      <c r="N35" t="n" s="7">
        <v>44068.0</v>
      </c>
      <c r="O35" t="n" s="7">
        <v>44196.0</v>
      </c>
      <c r="P35" t="s" s="1">
        <v>3499</v>
      </c>
    </row>
    <row r="36" spans="1:16">
      <c r="A36" t="n" s="4">
        <v>31</v>
      </c>
      <c r="B36" s="2">
        <f>HYPERLINK("https://my.zakupki.prom.ua/remote/dispatcher/state_purchase_view/16297569", "UA-2020-04-15-004162-b")</f>
        <v/>
      </c>
      <c r="C36" t="s" s="2">
        <v>3245</v>
      </c>
      <c r="D36" s="2">
        <f>HYPERLINK("https://my.zakupki.prom.ua/remote/dispatcher/state_contracting_view/4121175", "UA-2020-04-15-004162-b-b1")</f>
        <v/>
      </c>
      <c r="E36" t="s" s="1">
        <v>536</v>
      </c>
      <c r="F36" t="s" s="1">
        <v>2378</v>
      </c>
      <c r="G36" t="s" s="1">
        <v>2378</v>
      </c>
      <c r="H36" t="s" s="1">
        <v>1049</v>
      </c>
      <c r="I36" t="s" s="1">
        <v>2361</v>
      </c>
      <c r="J36" t="s" s="1">
        <v>3421</v>
      </c>
      <c r="K36" t="s" s="1">
        <v>479</v>
      </c>
      <c r="L36" t="s" s="1">
        <v>152</v>
      </c>
      <c r="M36" t="n" s="5">
        <v>257880.0</v>
      </c>
      <c r="N36" t="n" s="7">
        <v>43936.0</v>
      </c>
      <c r="O36" t="n" s="7">
        <v>44196.0</v>
      </c>
      <c r="P36" t="s" s="1">
        <v>3499</v>
      </c>
    </row>
    <row r="37" spans="1:16">
      <c r="A37" t="n" s="4">
        <v>32</v>
      </c>
      <c r="B37" s="2">
        <f>HYPERLINK("https://my.zakupki.prom.ua/remote/dispatcher/state_purchase_view/17227175", "UA-2020-06-15-000719-c")</f>
        <v/>
      </c>
      <c r="C37" t="s" s="2">
        <v>3245</v>
      </c>
      <c r="D37" s="2">
        <f>HYPERLINK("https://my.zakupki.prom.ua/remote/dispatcher/state_contracting_view/4526944", "UA-2020-06-15-000719-c-c1")</f>
        <v/>
      </c>
      <c r="E37" t="s" s="1">
        <v>656</v>
      </c>
      <c r="F37" t="s" s="1">
        <v>2447</v>
      </c>
      <c r="G37" t="s" s="1">
        <v>2444</v>
      </c>
      <c r="H37" t="s" s="1">
        <v>703</v>
      </c>
      <c r="I37" t="s" s="1">
        <v>2361</v>
      </c>
      <c r="J37" t="s" s="1">
        <v>3392</v>
      </c>
      <c r="K37" t="s" s="1">
        <v>428</v>
      </c>
      <c r="L37" t="s" s="1">
        <v>290</v>
      </c>
      <c r="M37" t="n" s="5">
        <v>3729.8</v>
      </c>
      <c r="N37" t="n" s="7">
        <v>43993.0</v>
      </c>
      <c r="O37" t="n" s="7">
        <v>44196.0</v>
      </c>
      <c r="P37" t="s" s="1">
        <v>3499</v>
      </c>
    </row>
    <row r="38" spans="1:16">
      <c r="A38" t="n" s="4">
        <v>33</v>
      </c>
      <c r="B38" s="2">
        <f>HYPERLINK("https://my.zakupki.prom.ua/remote/dispatcher/state_purchase_view/17126823", "UA-2020-06-09-007590-b")</f>
        <v/>
      </c>
      <c r="C38" t="s" s="2">
        <v>3245</v>
      </c>
      <c r="D38" s="2">
        <f>HYPERLINK("https://my.zakupki.prom.ua/remote/dispatcher/state_contracting_view/4481060", "UA-2020-06-09-007590-b-b1")</f>
        <v/>
      </c>
      <c r="E38" t="s" s="1">
        <v>2205</v>
      </c>
      <c r="F38" t="s" s="1">
        <v>2408</v>
      </c>
      <c r="G38" t="s" s="1">
        <v>2355</v>
      </c>
      <c r="H38" t="s" s="1">
        <v>688</v>
      </c>
      <c r="I38" t="s" s="1">
        <v>2361</v>
      </c>
      <c r="J38" t="s" s="1">
        <v>3254</v>
      </c>
      <c r="K38" t="s" s="1">
        <v>283</v>
      </c>
      <c r="L38" t="s" s="1">
        <v>3208</v>
      </c>
      <c r="M38" t="n" s="5">
        <v>71600.0</v>
      </c>
      <c r="N38" t="n" s="7">
        <v>43991.0</v>
      </c>
      <c r="O38" t="n" s="7">
        <v>44196.0</v>
      </c>
      <c r="P38" t="s" s="1">
        <v>3499</v>
      </c>
    </row>
    <row r="39" spans="1:16">
      <c r="A39" t="n" s="4">
        <v>34</v>
      </c>
      <c r="B39" s="2">
        <f>HYPERLINK("https://my.zakupki.prom.ua/remote/dispatcher/state_purchase_view/17126886", "UA-2020-06-09-007610-b")</f>
        <v/>
      </c>
      <c r="C39" t="s" s="2">
        <v>3245</v>
      </c>
      <c r="D39" s="2">
        <f>HYPERLINK("https://my.zakupki.prom.ua/remote/dispatcher/state_contracting_view/4481102", "UA-2020-06-09-007610-b-b1")</f>
        <v/>
      </c>
      <c r="E39" t="s" s="1">
        <v>1592</v>
      </c>
      <c r="F39" t="s" s="1">
        <v>2406</v>
      </c>
      <c r="G39" t="s" s="1">
        <v>2296</v>
      </c>
      <c r="H39" t="s" s="1">
        <v>670</v>
      </c>
      <c r="I39" t="s" s="1">
        <v>2361</v>
      </c>
      <c r="J39" t="s" s="1">
        <v>3384</v>
      </c>
      <c r="K39" t="s" s="1">
        <v>930</v>
      </c>
      <c r="L39" t="s" s="1">
        <v>272</v>
      </c>
      <c r="M39" t="n" s="5">
        <v>2200.0</v>
      </c>
      <c r="N39" t="n" s="7">
        <v>43991.0</v>
      </c>
      <c r="O39" t="n" s="7">
        <v>44196.0</v>
      </c>
      <c r="P39" t="s" s="1">
        <v>3499</v>
      </c>
    </row>
    <row r="40" spans="1:16">
      <c r="A40" t="n" s="4">
        <v>35</v>
      </c>
      <c r="B40" s="2">
        <f>HYPERLINK("https://my.zakupki.prom.ua/remote/dispatcher/state_purchase_view/20025790", "UA-2020-10-12-004509-b")</f>
        <v/>
      </c>
      <c r="C40" t="s" s="2">
        <v>3245</v>
      </c>
      <c r="D40" s="2">
        <f>HYPERLINK("https://my.zakupki.prom.ua/remote/dispatcher/state_contracting_view/5839575", "UA-2020-10-12-004509-b-b1")</f>
        <v/>
      </c>
      <c r="E40" t="s" s="1">
        <v>2262</v>
      </c>
      <c r="F40" t="s" s="1">
        <v>2948</v>
      </c>
      <c r="G40" t="s" s="1">
        <v>2948</v>
      </c>
      <c r="H40" t="s" s="1">
        <v>727</v>
      </c>
      <c r="I40" t="s" s="1">
        <v>2361</v>
      </c>
      <c r="J40" t="s" s="1">
        <v>3409</v>
      </c>
      <c r="K40" t="s" s="1">
        <v>823</v>
      </c>
      <c r="L40" t="s" s="1">
        <v>490</v>
      </c>
      <c r="M40" t="n" s="5">
        <v>6290.53</v>
      </c>
      <c r="N40" t="n" s="7">
        <v>44116.0</v>
      </c>
      <c r="O40" t="n" s="7">
        <v>44196.0</v>
      </c>
      <c r="P40" t="s" s="1">
        <v>3499</v>
      </c>
    </row>
    <row r="41" spans="1:16">
      <c r="A41" t="n" s="4">
        <v>36</v>
      </c>
      <c r="B41" s="2">
        <f>HYPERLINK("https://my.zakupki.prom.ua/remote/dispatcher/state_purchase_view/18031429", "UA-2020-07-22-001564-b")</f>
        <v/>
      </c>
      <c r="C41" t="s" s="2">
        <v>3245</v>
      </c>
      <c r="D41" s="2">
        <f>HYPERLINK("https://my.zakupki.prom.ua/remote/dispatcher/state_contracting_view/4900412", "UA-2020-07-22-001564-b-b1")</f>
        <v/>
      </c>
      <c r="E41" t="s" s="1">
        <v>1391</v>
      </c>
      <c r="F41" t="s" s="1">
        <v>2905</v>
      </c>
      <c r="G41" t="s" s="1">
        <v>2905</v>
      </c>
      <c r="H41" t="s" s="1">
        <v>718</v>
      </c>
      <c r="I41" t="s" s="1">
        <v>2361</v>
      </c>
      <c r="J41" t="s" s="1">
        <v>3402</v>
      </c>
      <c r="K41" t="s" s="1">
        <v>375</v>
      </c>
      <c r="L41" t="s" s="1">
        <v>405</v>
      </c>
      <c r="M41" t="n" s="5">
        <v>4653.22</v>
      </c>
      <c r="N41" t="n" s="7">
        <v>44033.0</v>
      </c>
      <c r="O41" t="n" s="7">
        <v>44196.0</v>
      </c>
      <c r="P41" t="s" s="1">
        <v>3499</v>
      </c>
    </row>
    <row r="42" spans="1:16">
      <c r="A42" t="n" s="4">
        <v>37</v>
      </c>
      <c r="B42" s="2">
        <f>HYPERLINK("https://my.zakupki.prom.ua/remote/dispatcher/state_purchase_view/17890008", "UA-2020-07-15-003643-c")</f>
        <v/>
      </c>
      <c r="C42" t="s" s="2">
        <v>3245</v>
      </c>
      <c r="D42" s="2">
        <f>HYPERLINK("https://my.zakupki.prom.ua/remote/dispatcher/state_contracting_view/4834455", "UA-2020-07-15-003643-c-c1")</f>
        <v/>
      </c>
      <c r="E42" t="s" s="1">
        <v>1587</v>
      </c>
      <c r="F42" t="s" s="1">
        <v>3148</v>
      </c>
      <c r="G42" t="s" s="1">
        <v>3148</v>
      </c>
      <c r="H42" t="s" s="1">
        <v>1759</v>
      </c>
      <c r="I42" t="s" s="1">
        <v>2361</v>
      </c>
      <c r="J42" t="s" s="1">
        <v>3390</v>
      </c>
      <c r="K42" t="s" s="1">
        <v>816</v>
      </c>
      <c r="L42" t="s" s="1">
        <v>1251</v>
      </c>
      <c r="M42" t="n" s="5">
        <v>28590.0</v>
      </c>
      <c r="N42" t="n" s="7">
        <v>44027.0</v>
      </c>
      <c r="O42" t="n" s="7">
        <v>44196.0</v>
      </c>
      <c r="P42" t="s" s="1">
        <v>3499</v>
      </c>
    </row>
    <row r="43" spans="1:16">
      <c r="A43" t="n" s="4">
        <v>38</v>
      </c>
      <c r="B43" s="2">
        <f>HYPERLINK("https://my.zakupki.prom.ua/remote/dispatcher/state_purchase_view/17888201", "UA-2020-07-15-003171-c")</f>
        <v/>
      </c>
      <c r="C43" t="s" s="2">
        <v>3245</v>
      </c>
      <c r="D43" s="2">
        <f>HYPERLINK("https://my.zakupki.prom.ua/remote/dispatcher/state_contracting_view/4833305", "UA-2020-07-15-003171-c-c1")</f>
        <v/>
      </c>
      <c r="E43" t="s" s="1">
        <v>818</v>
      </c>
      <c r="F43" t="s" s="1">
        <v>2611</v>
      </c>
      <c r="G43" t="s" s="1">
        <v>2611</v>
      </c>
      <c r="H43" t="s" s="1">
        <v>225</v>
      </c>
      <c r="I43" t="s" s="1">
        <v>2361</v>
      </c>
      <c r="J43" t="s" s="1">
        <v>3467</v>
      </c>
      <c r="K43" t="s" s="1">
        <v>766</v>
      </c>
      <c r="L43" t="s" s="1">
        <v>675</v>
      </c>
      <c r="M43" t="n" s="5">
        <v>2878.0</v>
      </c>
      <c r="N43" t="n" s="7">
        <v>44026.0</v>
      </c>
      <c r="O43" t="n" s="7">
        <v>44196.0</v>
      </c>
      <c r="P43" t="s" s="1">
        <v>3499</v>
      </c>
    </row>
    <row r="44" spans="1:16">
      <c r="A44" t="n" s="4">
        <v>39</v>
      </c>
      <c r="B44" s="2">
        <f>HYPERLINK("https://my.zakupki.prom.ua/remote/dispatcher/state_purchase_view/17966536", "UA-2020-07-20-000500-b")</f>
        <v/>
      </c>
      <c r="C44" t="s" s="2">
        <v>3245</v>
      </c>
      <c r="D44" s="2">
        <f>HYPERLINK("https://my.zakupki.prom.ua/remote/dispatcher/state_contracting_view/4869607", "UA-2020-07-20-000500-b-b1")</f>
        <v/>
      </c>
      <c r="E44" t="s" s="1">
        <v>1992</v>
      </c>
      <c r="F44" t="s" s="1">
        <v>2894</v>
      </c>
      <c r="G44" t="s" s="1">
        <v>3521</v>
      </c>
      <c r="H44" t="s" s="1">
        <v>718</v>
      </c>
      <c r="I44" t="s" s="1">
        <v>2361</v>
      </c>
      <c r="J44" t="s" s="1">
        <v>3392</v>
      </c>
      <c r="K44" t="s" s="1">
        <v>428</v>
      </c>
      <c r="L44" t="s" s="1">
        <v>749</v>
      </c>
      <c r="M44" t="n" s="5">
        <v>2709.52</v>
      </c>
      <c r="N44" t="n" s="7">
        <v>44032.0</v>
      </c>
      <c r="O44" t="n" s="7">
        <v>44196.0</v>
      </c>
      <c r="P44" t="s" s="1">
        <v>3499</v>
      </c>
    </row>
    <row r="45" spans="1:16">
      <c r="A45" t="n" s="4">
        <v>40</v>
      </c>
      <c r="B45" s="2">
        <f>HYPERLINK("https://my.zakupki.prom.ua/remote/dispatcher/state_purchase_view/18027973", "UA-2020-07-22-000624-b")</f>
        <v/>
      </c>
      <c r="C45" t="s" s="2">
        <v>3245</v>
      </c>
      <c r="D45" s="2">
        <f>HYPERLINK("https://my.zakupki.prom.ua/remote/dispatcher/state_contracting_view/4898886", "UA-2020-07-22-000624-b-b1")</f>
        <v/>
      </c>
      <c r="E45" t="s" s="1">
        <v>311</v>
      </c>
      <c r="F45" t="s" s="1">
        <v>2504</v>
      </c>
      <c r="G45" t="s" s="1">
        <v>2504</v>
      </c>
      <c r="H45" t="s" s="1">
        <v>38</v>
      </c>
      <c r="I45" t="s" s="1">
        <v>2361</v>
      </c>
      <c r="J45" t="s" s="1">
        <v>3467</v>
      </c>
      <c r="K45" t="s" s="1">
        <v>766</v>
      </c>
      <c r="L45" t="s" s="1">
        <v>769</v>
      </c>
      <c r="M45" t="n" s="5">
        <v>558.0</v>
      </c>
      <c r="N45" t="n" s="7">
        <v>44033.0</v>
      </c>
      <c r="O45" t="n" s="7">
        <v>44196.0</v>
      </c>
      <c r="P45" t="s" s="1">
        <v>3499</v>
      </c>
    </row>
    <row r="46" spans="1:16">
      <c r="A46" t="n" s="4">
        <v>41</v>
      </c>
      <c r="B46" s="2">
        <f>HYPERLINK("https://my.zakupki.prom.ua/remote/dispatcher/state_purchase_view/17700984", "UA-2020-07-07-001396-c")</f>
        <v/>
      </c>
      <c r="C46" t="s" s="2">
        <v>3245</v>
      </c>
      <c r="D46" s="2">
        <f>HYPERLINK("https://my.zakupki.prom.ua/remote/dispatcher/state_contracting_view/4746425", "UA-2020-07-07-001396-c-c1")</f>
        <v/>
      </c>
      <c r="E46" t="s" s="1">
        <v>1866</v>
      </c>
      <c r="F46" t="s" s="1">
        <v>2399</v>
      </c>
      <c r="G46" t="s" s="1">
        <v>3309</v>
      </c>
      <c r="H46" t="s" s="1">
        <v>718</v>
      </c>
      <c r="I46" t="s" s="1">
        <v>2361</v>
      </c>
      <c r="J46" t="s" s="1">
        <v>3392</v>
      </c>
      <c r="K46" t="s" s="1">
        <v>428</v>
      </c>
      <c r="L46" t="s" s="1">
        <v>518</v>
      </c>
      <c r="M46" t="n" s="5">
        <v>15729.98</v>
      </c>
      <c r="N46" t="n" s="7">
        <v>44018.0</v>
      </c>
      <c r="O46" t="n" s="7">
        <v>44196.0</v>
      </c>
      <c r="P46" t="s" s="1">
        <v>3499</v>
      </c>
    </row>
    <row r="47" spans="1:16">
      <c r="A47" t="n" s="4">
        <v>42</v>
      </c>
      <c r="B47" s="2">
        <f>HYPERLINK("https://my.zakupki.prom.ua/remote/dispatcher/state_purchase_view/17775022", "UA-2020-07-09-006894-c")</f>
        <v/>
      </c>
      <c r="C47" t="s" s="2">
        <v>3245</v>
      </c>
      <c r="D47" s="2">
        <f>HYPERLINK("https://my.zakupki.prom.ua/remote/dispatcher/state_contracting_view/4781084", "UA-2020-07-09-006894-c-c1")</f>
        <v/>
      </c>
      <c r="E47" t="s" s="1">
        <v>2180</v>
      </c>
      <c r="F47" t="s" s="1">
        <v>2556</v>
      </c>
      <c r="G47" t="s" s="1">
        <v>2556</v>
      </c>
      <c r="H47" t="s" s="1">
        <v>213</v>
      </c>
      <c r="I47" t="s" s="1">
        <v>2361</v>
      </c>
      <c r="J47" t="s" s="1">
        <v>3467</v>
      </c>
      <c r="K47" t="s" s="1">
        <v>766</v>
      </c>
      <c r="L47" t="s" s="1">
        <v>609</v>
      </c>
      <c r="M47" t="n" s="5">
        <v>521.0</v>
      </c>
      <c r="N47" t="n" s="7">
        <v>44019.0</v>
      </c>
      <c r="O47" t="n" s="7">
        <v>44196.0</v>
      </c>
      <c r="P47" t="s" s="1">
        <v>3499</v>
      </c>
    </row>
    <row r="48" spans="1:16">
      <c r="A48" t="n" s="4">
        <v>43</v>
      </c>
      <c r="B48" s="2">
        <f>HYPERLINK("https://my.zakupki.prom.ua/remote/dispatcher/state_purchase_view/17488939", "UA-2020-06-24-012057-a")</f>
        <v/>
      </c>
      <c r="C48" t="s" s="2">
        <v>3245</v>
      </c>
      <c r="D48" s="2">
        <f>HYPERLINK("https://my.zakupki.prom.ua/remote/dispatcher/state_contracting_view/4647888", "UA-2020-06-24-012057-a-a1")</f>
        <v/>
      </c>
      <c r="E48" t="s" s="1">
        <v>80</v>
      </c>
      <c r="F48" t="s" s="1">
        <v>3334</v>
      </c>
      <c r="G48" t="s" s="1">
        <v>3334</v>
      </c>
      <c r="H48" t="s" s="1">
        <v>205</v>
      </c>
      <c r="I48" t="s" s="1">
        <v>2361</v>
      </c>
      <c r="J48" t="s" s="1">
        <v>3448</v>
      </c>
      <c r="K48" t="s" s="1">
        <v>766</v>
      </c>
      <c r="L48" t="s" s="1">
        <v>394</v>
      </c>
      <c r="M48" t="n" s="5">
        <v>7968.6</v>
      </c>
      <c r="N48" t="n" s="7">
        <v>44005.0</v>
      </c>
      <c r="O48" t="n" s="7">
        <v>44196.0</v>
      </c>
      <c r="P48" t="s" s="1">
        <v>3499</v>
      </c>
    </row>
    <row r="49" spans="1:16">
      <c r="A49" t="n" s="4">
        <v>44</v>
      </c>
      <c r="B49" s="2">
        <f>HYPERLINK("https://my.zakupki.prom.ua/remote/dispatcher/state_purchase_view/17647140", "UA-2020-07-03-005754-a")</f>
        <v/>
      </c>
      <c r="C49" t="s" s="2">
        <v>3245</v>
      </c>
      <c r="D49" s="2">
        <f>HYPERLINK("https://my.zakupki.prom.ua/remote/dispatcher/state_contracting_view/4721709", "UA-2020-07-03-005754-a-a1")</f>
        <v/>
      </c>
      <c r="E49" t="s" s="1">
        <v>1973</v>
      </c>
      <c r="F49" t="s" s="1">
        <v>2400</v>
      </c>
      <c r="G49" t="s" s="1">
        <v>3315</v>
      </c>
      <c r="H49" t="s" s="1">
        <v>594</v>
      </c>
      <c r="I49" t="s" s="1">
        <v>2361</v>
      </c>
      <c r="J49" t="s" s="1">
        <v>3299</v>
      </c>
      <c r="K49" t="s" s="1">
        <v>741</v>
      </c>
      <c r="L49" t="s" s="1">
        <v>471</v>
      </c>
      <c r="M49" t="n" s="5">
        <v>2025.0</v>
      </c>
      <c r="N49" t="n" s="7">
        <v>44015.0</v>
      </c>
      <c r="O49" t="n" s="7">
        <v>44196.0</v>
      </c>
      <c r="P49" t="s" s="1">
        <v>3499</v>
      </c>
    </row>
    <row r="50" spans="1:16">
      <c r="A50" t="n" s="4">
        <v>45</v>
      </c>
      <c r="B50" s="2">
        <f>HYPERLINK("https://my.zakupki.prom.ua/remote/dispatcher/state_purchase_view/17769188", "UA-2020-07-09-005289-c")</f>
        <v/>
      </c>
      <c r="C50" t="s" s="2">
        <v>3245</v>
      </c>
      <c r="D50" s="2">
        <f>HYPERLINK("https://my.zakupki.prom.ua/remote/dispatcher/state_contracting_view/4778050", "UA-2020-07-09-005289-c-c1")</f>
        <v/>
      </c>
      <c r="E50" t="s" s="1">
        <v>2070</v>
      </c>
      <c r="F50" t="s" s="1">
        <v>2580</v>
      </c>
      <c r="G50" t="s" s="1">
        <v>2580</v>
      </c>
      <c r="H50" t="s" s="1">
        <v>219</v>
      </c>
      <c r="I50" t="s" s="1">
        <v>2361</v>
      </c>
      <c r="J50" t="s" s="1">
        <v>3467</v>
      </c>
      <c r="K50" t="s" s="1">
        <v>766</v>
      </c>
      <c r="L50" t="s" s="1">
        <v>558</v>
      </c>
      <c r="M50" t="n" s="5">
        <v>10066.9</v>
      </c>
      <c r="N50" t="n" s="7">
        <v>44019.0</v>
      </c>
      <c r="O50" t="n" s="7">
        <v>44196.0</v>
      </c>
      <c r="P50" t="s" s="1">
        <v>3499</v>
      </c>
    </row>
    <row r="51" spans="1:16">
      <c r="A51" t="n" s="4">
        <v>46</v>
      </c>
      <c r="B51" s="2">
        <f>HYPERLINK("https://my.zakupki.prom.ua/remote/dispatcher/state_purchase_view/17699268", "UA-2020-07-07-003333-a")</f>
        <v/>
      </c>
      <c r="C51" t="s" s="2">
        <v>3245</v>
      </c>
      <c r="D51" s="2">
        <f>HYPERLINK("https://my.zakupki.prom.ua/remote/dispatcher/state_contracting_view/4745594", "UA-2020-07-07-003333-a-a1")</f>
        <v/>
      </c>
      <c r="E51" t="s" s="1">
        <v>1634</v>
      </c>
      <c r="F51" t="s" s="1">
        <v>2854</v>
      </c>
      <c r="G51" t="s" s="1">
        <v>3495</v>
      </c>
      <c r="H51" t="s" s="1">
        <v>718</v>
      </c>
      <c r="I51" t="s" s="1">
        <v>2361</v>
      </c>
      <c r="J51" t="s" s="1">
        <v>3392</v>
      </c>
      <c r="K51" t="s" s="1">
        <v>428</v>
      </c>
      <c r="L51" t="s" s="1">
        <v>516</v>
      </c>
      <c r="M51" t="n" s="5">
        <v>16543.7</v>
      </c>
      <c r="N51" t="n" s="7">
        <v>44018.0</v>
      </c>
      <c r="O51" t="n" s="7">
        <v>44196.0</v>
      </c>
      <c r="P51" t="s" s="1">
        <v>3499</v>
      </c>
    </row>
    <row r="52" spans="1:16">
      <c r="A52" t="n" s="4">
        <v>47</v>
      </c>
      <c r="B52" s="2">
        <f>HYPERLINK("https://my.zakupki.prom.ua/remote/dispatcher/state_purchase_view/19512216", "UA-2020-09-23-001672-b")</f>
        <v/>
      </c>
      <c r="C52" t="s" s="2">
        <v>3245</v>
      </c>
      <c r="D52" s="2">
        <f>HYPERLINK("https://my.zakupki.prom.ua/remote/dispatcher/state_contracting_view/5598208", "UA-2020-09-23-001672-b-b1")</f>
        <v/>
      </c>
      <c r="E52" t="s" s="1">
        <v>898</v>
      </c>
      <c r="F52" t="s" s="1">
        <v>2514</v>
      </c>
      <c r="G52" t="s" s="1">
        <v>2514</v>
      </c>
      <c r="H52" t="s" s="1">
        <v>39</v>
      </c>
      <c r="I52" t="s" s="1">
        <v>2361</v>
      </c>
      <c r="J52" t="s" s="1">
        <v>3467</v>
      </c>
      <c r="K52" t="s" s="1">
        <v>766</v>
      </c>
      <c r="L52" t="s" s="1">
        <v>1380</v>
      </c>
      <c r="M52" t="n" s="5">
        <v>7608.0</v>
      </c>
      <c r="N52" t="n" s="7">
        <v>44095.0</v>
      </c>
      <c r="O52" t="n" s="7">
        <v>44196.0</v>
      </c>
      <c r="P52" t="s" s="1">
        <v>3499</v>
      </c>
    </row>
    <row r="53" spans="1:16">
      <c r="A53" t="n" s="4">
        <v>48</v>
      </c>
      <c r="B53" s="2">
        <f>HYPERLINK("https://my.zakupki.prom.ua/remote/dispatcher/state_purchase_view/21591753", "UA-2020-12-01-001865-b")</f>
        <v/>
      </c>
      <c r="C53" t="s" s="2">
        <v>3245</v>
      </c>
      <c r="D53" s="2">
        <f>HYPERLINK("https://my.zakupki.prom.ua/remote/dispatcher/state_contracting_view/6583742", "UA-2020-12-01-001865-b-b1")</f>
        <v/>
      </c>
      <c r="E53" t="s" s="1">
        <v>313</v>
      </c>
      <c r="F53" t="s" s="1">
        <v>3135</v>
      </c>
      <c r="G53" t="s" s="1">
        <v>3135</v>
      </c>
      <c r="H53" t="s" s="1">
        <v>1505</v>
      </c>
      <c r="I53" t="s" s="1">
        <v>2361</v>
      </c>
      <c r="J53" t="s" s="1">
        <v>3395</v>
      </c>
      <c r="K53" t="s" s="1">
        <v>994</v>
      </c>
      <c r="L53" t="s" s="1">
        <v>944</v>
      </c>
      <c r="M53" t="n" s="5">
        <v>49000.0</v>
      </c>
      <c r="N53" t="n" s="7">
        <v>44166.0</v>
      </c>
      <c r="O53" t="n" s="7">
        <v>44196.0</v>
      </c>
      <c r="P53" t="s" s="1">
        <v>3499</v>
      </c>
    </row>
    <row r="54" spans="1:16">
      <c r="A54" t="n" s="4">
        <v>49</v>
      </c>
      <c r="B54" s="2">
        <f>HYPERLINK("https://my.zakupki.prom.ua/remote/dispatcher/state_purchase_view/21317261", "UA-2020-11-23-001921-c")</f>
        <v/>
      </c>
      <c r="C54" t="s" s="2">
        <v>3245</v>
      </c>
      <c r="D54" s="2">
        <f>HYPERLINK("https://my.zakupki.prom.ua/remote/dispatcher/state_contracting_view/6455519", "UA-2020-11-23-001921-c-c1")</f>
        <v/>
      </c>
      <c r="E54" t="s" s="1">
        <v>2076</v>
      </c>
      <c r="F54" t="s" s="1">
        <v>2497</v>
      </c>
      <c r="G54" t="s" s="1">
        <v>3484</v>
      </c>
      <c r="H54" t="s" s="1">
        <v>718</v>
      </c>
      <c r="I54" t="s" s="1">
        <v>2361</v>
      </c>
      <c r="J54" t="s" s="1">
        <v>3382</v>
      </c>
      <c r="K54" t="s" s="1">
        <v>955</v>
      </c>
      <c r="L54" t="s" s="1">
        <v>1784</v>
      </c>
      <c r="M54" t="n" s="5">
        <v>131640.0</v>
      </c>
      <c r="N54" t="n" s="7">
        <v>44158.0</v>
      </c>
      <c r="O54" t="n" s="7">
        <v>44196.0</v>
      </c>
      <c r="P54" t="s" s="1">
        <v>3499</v>
      </c>
    </row>
    <row r="55" spans="1:16">
      <c r="A55" t="n" s="4">
        <v>50</v>
      </c>
      <c r="B55" s="2">
        <f>HYPERLINK("https://my.zakupki.prom.ua/remote/dispatcher/state_purchase_view/21328626", "UA-2020-11-23-005780-c")</f>
        <v/>
      </c>
      <c r="C55" t="s" s="2">
        <v>3245</v>
      </c>
      <c r="D55" s="2">
        <f>HYPERLINK("https://my.zakupki.prom.ua/remote/dispatcher/state_contracting_view/6460383", "UA-2020-11-23-005780-c-c1")</f>
        <v/>
      </c>
      <c r="E55" t="s" s="1">
        <v>2118</v>
      </c>
      <c r="F55" t="s" s="1">
        <v>2874</v>
      </c>
      <c r="G55" t="s" s="1">
        <v>3490</v>
      </c>
      <c r="H55" t="s" s="1">
        <v>718</v>
      </c>
      <c r="I55" t="s" s="1">
        <v>2361</v>
      </c>
      <c r="J55" t="s" s="1">
        <v>3392</v>
      </c>
      <c r="K55" t="s" s="1">
        <v>428</v>
      </c>
      <c r="L55" t="s" s="1">
        <v>1789</v>
      </c>
      <c r="M55" t="n" s="5">
        <v>3948.06</v>
      </c>
      <c r="N55" t="n" s="7">
        <v>44158.0</v>
      </c>
      <c r="O55" t="n" s="7">
        <v>44196.0</v>
      </c>
      <c r="P55" t="s" s="1">
        <v>3499</v>
      </c>
    </row>
    <row r="56" spans="1:16">
      <c r="A56" t="n" s="4">
        <v>51</v>
      </c>
      <c r="B56" s="2">
        <f>HYPERLINK("https://my.zakupki.prom.ua/remote/dispatcher/state_purchase_view/21323747", "UA-2020-11-23-004079-c")</f>
        <v/>
      </c>
      <c r="C56" t="s" s="2">
        <v>3245</v>
      </c>
      <c r="D56" s="2">
        <f>HYPERLINK("https://my.zakupki.prom.ua/remote/dispatcher/state_contracting_view/6459093", "UA-2020-11-23-004079-c-c1")</f>
        <v/>
      </c>
      <c r="E56" t="s" s="1">
        <v>1720</v>
      </c>
      <c r="F56" t="s" s="1">
        <v>2651</v>
      </c>
      <c r="G56" t="s" s="1">
        <v>2651</v>
      </c>
      <c r="H56" t="s" s="1">
        <v>406</v>
      </c>
      <c r="I56" t="s" s="1">
        <v>2361</v>
      </c>
      <c r="J56" t="s" s="1">
        <v>2340</v>
      </c>
      <c r="K56" t="s" s="1">
        <v>660</v>
      </c>
      <c r="L56" t="s" s="1">
        <v>1135</v>
      </c>
      <c r="M56" t="n" s="5">
        <v>3300.0</v>
      </c>
      <c r="N56" t="n" s="7">
        <v>44158.0</v>
      </c>
      <c r="O56" t="n" s="7">
        <v>44196.0</v>
      </c>
      <c r="P56" t="s" s="1">
        <v>3499</v>
      </c>
    </row>
    <row r="57" spans="1:16">
      <c r="A57" t="n" s="4">
        <v>52</v>
      </c>
      <c r="B57" s="2">
        <f>HYPERLINK("https://my.zakupki.prom.ua/remote/dispatcher/state_purchase_view/22749043", "UA-2020-12-29-000721-a")</f>
        <v/>
      </c>
      <c r="C57" t="s" s="2">
        <v>3245</v>
      </c>
      <c r="D57" s="2">
        <f>HYPERLINK("https://my.zakupki.prom.ua/remote/dispatcher/state_contracting_view/7138694", "UA-2020-12-29-000721-a-a1")</f>
        <v/>
      </c>
      <c r="E57" t="s" s="1">
        <v>1917</v>
      </c>
      <c r="F57" t="s" s="1">
        <v>3082</v>
      </c>
      <c r="G57" t="s" s="1">
        <v>3082</v>
      </c>
      <c r="H57" t="s" s="1">
        <v>1031</v>
      </c>
      <c r="I57" t="s" s="1">
        <v>2361</v>
      </c>
      <c r="J57" t="s" s="1">
        <v>3420</v>
      </c>
      <c r="K57" t="s" s="1">
        <v>535</v>
      </c>
      <c r="L57" t="s" s="1">
        <v>3358</v>
      </c>
      <c r="M57" t="n" s="5">
        <v>330.0</v>
      </c>
      <c r="N57" t="n" s="7">
        <v>44194.0</v>
      </c>
      <c r="O57" t="n" s="7">
        <v>44196.0</v>
      </c>
      <c r="P57" t="s" s="1">
        <v>3499</v>
      </c>
    </row>
    <row r="58" spans="1:16">
      <c r="A58" t="n" s="4">
        <v>53</v>
      </c>
      <c r="B58" s="2">
        <f>HYPERLINK("https://my.zakupki.prom.ua/remote/dispatcher/state_purchase_view/20674391", "UA-2020-11-02-008664-c")</f>
        <v/>
      </c>
      <c r="C58" t="s" s="2">
        <v>3245</v>
      </c>
      <c r="D58" s="2">
        <f>HYPERLINK("https://my.zakupki.prom.ua/remote/dispatcher/state_contracting_view/6153019", "UA-2020-11-02-008664-c-c1")</f>
        <v/>
      </c>
      <c r="E58" t="s" s="1">
        <v>2149</v>
      </c>
      <c r="F58" t="s" s="1">
        <v>3025</v>
      </c>
      <c r="G58" t="s" s="1">
        <v>3025</v>
      </c>
      <c r="H58" t="s" s="1">
        <v>863</v>
      </c>
      <c r="I58" t="s" s="1">
        <v>2361</v>
      </c>
      <c r="J58" t="s" s="1">
        <v>3420</v>
      </c>
      <c r="K58" t="s" s="1">
        <v>535</v>
      </c>
      <c r="L58" t="s" s="1">
        <v>3357</v>
      </c>
      <c r="M58" t="n" s="5">
        <v>6576.0</v>
      </c>
      <c r="N58" t="n" s="7">
        <v>44137.0</v>
      </c>
      <c r="O58" t="n" s="7">
        <v>44196.0</v>
      </c>
      <c r="P58" t="s" s="1">
        <v>3499</v>
      </c>
    </row>
    <row r="59" spans="1:16">
      <c r="A59" t="n" s="4">
        <v>54</v>
      </c>
      <c r="B59" s="2">
        <f>HYPERLINK("https://my.zakupki.prom.ua/remote/dispatcher/state_purchase_view/20651715", "UA-2020-11-02-002614-c")</f>
        <v/>
      </c>
      <c r="C59" t="s" s="2">
        <v>3245</v>
      </c>
      <c r="D59" s="2">
        <f>HYPERLINK("https://my.zakupki.prom.ua/remote/dispatcher/state_contracting_view/6142355", "UA-2020-11-02-002614-c-c1")</f>
        <v/>
      </c>
      <c r="E59" t="s" s="1">
        <v>1335</v>
      </c>
      <c r="F59" t="s" s="1">
        <v>2669</v>
      </c>
      <c r="G59" t="s" s="1">
        <v>3504</v>
      </c>
      <c r="H59" t="s" s="1">
        <v>445</v>
      </c>
      <c r="I59" t="s" s="1">
        <v>2361</v>
      </c>
      <c r="J59" t="s" s="1">
        <v>3418</v>
      </c>
      <c r="K59" t="s" s="1">
        <v>949</v>
      </c>
      <c r="L59" t="s" s="1">
        <v>3197</v>
      </c>
      <c r="M59" t="n" s="5">
        <v>11103.0</v>
      </c>
      <c r="N59" t="n" s="7">
        <v>44137.0</v>
      </c>
      <c r="O59" t="n" s="7">
        <v>44196.0</v>
      </c>
      <c r="P59" t="s" s="1">
        <v>3499</v>
      </c>
    </row>
    <row r="60" spans="1:16">
      <c r="A60" t="n" s="4">
        <v>55</v>
      </c>
      <c r="B60" s="2">
        <f>HYPERLINK("https://my.zakupki.prom.ua/remote/dispatcher/state_purchase_view/20779482", "UA-2020-11-05-002730-c")</f>
        <v/>
      </c>
      <c r="C60" t="s" s="2">
        <v>3245</v>
      </c>
      <c r="D60" s="2">
        <f>HYPERLINK("https://my.zakupki.prom.ua/remote/dispatcher/state_contracting_view/6203164", "UA-2020-11-05-002730-c-c1")</f>
        <v/>
      </c>
      <c r="E60" t="s" s="1">
        <v>1814</v>
      </c>
      <c r="F60" t="s" s="1">
        <v>2947</v>
      </c>
      <c r="G60" t="s" s="1">
        <v>2946</v>
      </c>
      <c r="H60" t="s" s="1">
        <v>727</v>
      </c>
      <c r="I60" t="s" s="1">
        <v>2361</v>
      </c>
      <c r="J60" t="s" s="1">
        <v>3409</v>
      </c>
      <c r="K60" t="s" s="1">
        <v>823</v>
      </c>
      <c r="L60" t="s" s="1">
        <v>543</v>
      </c>
      <c r="M60" t="n" s="5">
        <v>11422.25</v>
      </c>
      <c r="N60" t="n" s="7">
        <v>44140.0</v>
      </c>
      <c r="O60" t="n" s="7">
        <v>44196.0</v>
      </c>
      <c r="P60" t="s" s="1">
        <v>3499</v>
      </c>
    </row>
    <row r="61" spans="1:16">
      <c r="A61" t="n" s="4">
        <v>56</v>
      </c>
      <c r="B61" s="2">
        <f>HYPERLINK("https://my.zakupki.prom.ua/remote/dispatcher/state_purchase_view/20276021", "UA-2020-10-20-005622-a")</f>
        <v/>
      </c>
      <c r="C61" t="s" s="2">
        <v>3245</v>
      </c>
      <c r="D61" s="2">
        <f>HYPERLINK("https://my.zakupki.prom.ua/remote/dispatcher/state_contracting_view/5959003", "UA-2020-10-20-005622-a-a1")</f>
        <v/>
      </c>
      <c r="E61" t="s" s="1">
        <v>1180</v>
      </c>
      <c r="F61" t="s" s="1">
        <v>2518</v>
      </c>
      <c r="G61" t="s" s="1">
        <v>2518</v>
      </c>
      <c r="H61" t="s" s="1">
        <v>39</v>
      </c>
      <c r="I61" t="s" s="1">
        <v>2361</v>
      </c>
      <c r="J61" t="s" s="1">
        <v>3467</v>
      </c>
      <c r="K61" t="s" s="1">
        <v>766</v>
      </c>
      <c r="L61" t="s" s="1">
        <v>1555</v>
      </c>
      <c r="M61" t="n" s="5">
        <v>12080.0</v>
      </c>
      <c r="N61" t="n" s="7">
        <v>44123.0</v>
      </c>
      <c r="O61" t="n" s="7">
        <v>44196.0</v>
      </c>
      <c r="P61" t="s" s="1">
        <v>3499</v>
      </c>
    </row>
    <row r="62" spans="1:16">
      <c r="A62" t="n" s="4">
        <v>57</v>
      </c>
      <c r="B62" s="2">
        <f>HYPERLINK("https://my.zakupki.prom.ua/remote/dispatcher/state_purchase_view/20877029", "UA-2020-11-09-001340-c")</f>
        <v/>
      </c>
      <c r="C62" t="s" s="2">
        <v>3245</v>
      </c>
      <c r="D62" s="2">
        <f>HYPERLINK("https://my.zakupki.prom.ua/remote/dispatcher/state_contracting_view/6249711", "UA-2020-11-09-001340-c-c1")</f>
        <v/>
      </c>
      <c r="E62" t="s" s="1">
        <v>1731</v>
      </c>
      <c r="F62" t="s" s="1">
        <v>3076</v>
      </c>
      <c r="G62" t="s" s="1">
        <v>3076</v>
      </c>
      <c r="H62" t="s" s="1">
        <v>1026</v>
      </c>
      <c r="I62" t="s" s="1">
        <v>2361</v>
      </c>
      <c r="J62" t="s" s="1">
        <v>3251</v>
      </c>
      <c r="K62" t="s" s="1">
        <v>486</v>
      </c>
      <c r="L62" t="s" s="1">
        <v>3275</v>
      </c>
      <c r="M62" t="n" s="5">
        <v>95.15</v>
      </c>
      <c r="N62" t="n" s="7">
        <v>44144.0</v>
      </c>
      <c r="O62" t="n" s="7">
        <v>44196.0</v>
      </c>
      <c r="P62" t="s" s="1">
        <v>3499</v>
      </c>
    </row>
    <row r="63" spans="1:16">
      <c r="A63" t="n" s="4">
        <v>58</v>
      </c>
      <c r="B63" s="2">
        <f>HYPERLINK("https://my.zakupki.prom.ua/remote/dispatcher/state_purchase_view/20875905", "UA-2020-11-09-000905-c")</f>
        <v/>
      </c>
      <c r="C63" t="s" s="2">
        <v>3245</v>
      </c>
      <c r="D63" s="2">
        <f>HYPERLINK("https://my.zakupki.prom.ua/remote/dispatcher/state_contracting_view/6248889", "UA-2020-11-09-000905-c-c1")</f>
        <v/>
      </c>
      <c r="E63" t="s" s="1">
        <v>1266</v>
      </c>
      <c r="F63" t="s" s="1">
        <v>2995</v>
      </c>
      <c r="G63" t="s" s="1">
        <v>2995</v>
      </c>
      <c r="H63" t="s" s="1">
        <v>848</v>
      </c>
      <c r="I63" t="s" s="1">
        <v>2361</v>
      </c>
      <c r="J63" t="s" s="1">
        <v>3251</v>
      </c>
      <c r="K63" t="s" s="1">
        <v>486</v>
      </c>
      <c r="L63" t="s" s="1">
        <v>3273</v>
      </c>
      <c r="M63" t="n" s="5">
        <v>297.4</v>
      </c>
      <c r="N63" t="n" s="7">
        <v>44144.0</v>
      </c>
      <c r="O63" t="n" s="7">
        <v>44196.0</v>
      </c>
      <c r="P63" t="s" s="1">
        <v>3499</v>
      </c>
    </row>
    <row r="64" spans="1:16">
      <c r="A64" t="n" s="4">
        <v>59</v>
      </c>
      <c r="B64" s="2">
        <f>HYPERLINK("https://my.zakupki.prom.ua/remote/dispatcher/state_purchase_view/20828869", "UA-2020-11-06-003099-c")</f>
        <v/>
      </c>
      <c r="C64" t="s" s="2">
        <v>3245</v>
      </c>
      <c r="D64" s="2">
        <f>HYPERLINK("https://my.zakupki.prom.ua/remote/dispatcher/state_contracting_view/6226052", "UA-2020-11-06-003099-c-c1")</f>
        <v/>
      </c>
      <c r="E64" t="s" s="1">
        <v>175</v>
      </c>
      <c r="F64" t="s" s="1">
        <v>2971</v>
      </c>
      <c r="G64" t="s" s="1">
        <v>2971</v>
      </c>
      <c r="H64" t="s" s="1">
        <v>763</v>
      </c>
      <c r="I64" t="s" s="1">
        <v>2361</v>
      </c>
      <c r="J64" t="s" s="1">
        <v>3460</v>
      </c>
      <c r="K64" t="s" s="1">
        <v>548</v>
      </c>
      <c r="L64" t="s" s="1">
        <v>1644</v>
      </c>
      <c r="M64" t="n" s="5">
        <v>170442.0</v>
      </c>
      <c r="N64" t="n" s="7">
        <v>44140.0</v>
      </c>
      <c r="O64" t="n" s="7">
        <v>44196.0</v>
      </c>
      <c r="P64" t="s" s="1">
        <v>3499</v>
      </c>
    </row>
    <row r="65" spans="1:16">
      <c r="A65" t="n" s="4">
        <v>60</v>
      </c>
      <c r="B65" s="2">
        <f>HYPERLINK("https://my.zakupki.prom.ua/remote/dispatcher/state_purchase_view/20742554", "UA-2020-11-04-005178-c")</f>
        <v/>
      </c>
      <c r="C65" t="s" s="2">
        <v>3245</v>
      </c>
      <c r="D65" s="2">
        <f>HYPERLINK("https://my.zakupki.prom.ua/remote/dispatcher/state_contracting_view/6185308", "UA-2020-11-04-005178-c-c1")</f>
        <v/>
      </c>
      <c r="E65" t="s" s="1">
        <v>1360</v>
      </c>
      <c r="F65" t="s" s="1">
        <v>2706</v>
      </c>
      <c r="G65" t="s" s="1">
        <v>2706</v>
      </c>
      <c r="H65" t="s" s="1">
        <v>630</v>
      </c>
      <c r="I65" t="s" s="1">
        <v>2361</v>
      </c>
      <c r="J65" t="s" s="1">
        <v>2360</v>
      </c>
      <c r="K65" t="s" s="1">
        <v>508</v>
      </c>
      <c r="L65" t="s" s="1">
        <v>1638</v>
      </c>
      <c r="M65" t="n" s="5">
        <v>13524.0</v>
      </c>
      <c r="N65" t="n" s="7">
        <v>44139.0</v>
      </c>
      <c r="O65" t="n" s="7">
        <v>44196.0</v>
      </c>
      <c r="P65" t="s" s="1">
        <v>3499</v>
      </c>
    </row>
    <row r="66" spans="1:16">
      <c r="A66" t="n" s="4">
        <v>61</v>
      </c>
      <c r="B66" s="2">
        <f>HYPERLINK("https://my.zakupki.prom.ua/remote/dispatcher/state_purchase_view/21159284", "UA-2020-11-17-010479-c")</f>
        <v/>
      </c>
      <c r="C66" t="s" s="2">
        <v>3245</v>
      </c>
      <c r="D66" s="2">
        <f>HYPERLINK("https://my.zakupki.prom.ua/remote/dispatcher/state_contracting_view/6382049", "UA-2020-11-17-010479-c-c1")</f>
        <v/>
      </c>
      <c r="E66" t="s" s="1">
        <v>1280</v>
      </c>
      <c r="F66" t="s" s="1">
        <v>3089</v>
      </c>
      <c r="G66" t="s" s="1">
        <v>3089</v>
      </c>
      <c r="H66" t="s" s="1">
        <v>1045</v>
      </c>
      <c r="I66" t="s" s="1">
        <v>2361</v>
      </c>
      <c r="J66" t="s" s="1">
        <v>3227</v>
      </c>
      <c r="K66" t="s" s="1">
        <v>503</v>
      </c>
      <c r="L66" t="s" s="1">
        <v>1727</v>
      </c>
      <c r="M66" t="n" s="5">
        <v>12000.0</v>
      </c>
      <c r="N66" t="n" s="7">
        <v>44152.0</v>
      </c>
      <c r="O66" t="n" s="7">
        <v>44196.0</v>
      </c>
      <c r="P66" t="s" s="1">
        <v>3499</v>
      </c>
    </row>
    <row r="67" spans="1:16">
      <c r="A67" t="n" s="4">
        <v>62</v>
      </c>
      <c r="B67" s="2">
        <f>HYPERLINK("https://my.zakupki.prom.ua/remote/dispatcher/state_purchase_view/21205574", "UA-2020-11-18-010723-c")</f>
        <v/>
      </c>
      <c r="C67" t="s" s="2">
        <v>3245</v>
      </c>
      <c r="D67" s="2">
        <f>HYPERLINK("https://my.zakupki.prom.ua/remote/dispatcher/state_contracting_view/6402989", "UA-2020-11-18-010723-c-c1")</f>
        <v/>
      </c>
      <c r="E67" t="s" s="1">
        <v>1732</v>
      </c>
      <c r="F67" t="s" s="1">
        <v>2974</v>
      </c>
      <c r="G67" t="s" s="1">
        <v>2974</v>
      </c>
      <c r="H67" t="s" s="1">
        <v>830</v>
      </c>
      <c r="I67" t="s" s="1">
        <v>2361</v>
      </c>
      <c r="J67" t="s" s="1">
        <v>3409</v>
      </c>
      <c r="K67" t="s" s="1">
        <v>823</v>
      </c>
      <c r="L67" t="s" s="1">
        <v>669</v>
      </c>
      <c r="M67" t="n" s="5">
        <v>9547.61</v>
      </c>
      <c r="N67" t="n" s="7">
        <v>44153.0</v>
      </c>
      <c r="O67" t="n" s="7">
        <v>44196.0</v>
      </c>
      <c r="P67" t="s" s="1">
        <v>3499</v>
      </c>
    </row>
    <row r="68" spans="1:16">
      <c r="A68" t="n" s="4">
        <v>63</v>
      </c>
      <c r="B68" s="2">
        <f>HYPERLINK("https://my.zakupki.prom.ua/remote/dispatcher/state_purchase_view/20935759", "UA-2020-11-10-001905-a")</f>
        <v/>
      </c>
      <c r="C68" t="s" s="2">
        <v>3245</v>
      </c>
      <c r="D68" s="2">
        <f>HYPERLINK("https://my.zakupki.prom.ua/remote/dispatcher/state_contracting_view/6277529", "UA-2020-11-10-001905-a-a1")</f>
        <v/>
      </c>
      <c r="E68" t="s" s="1">
        <v>1290</v>
      </c>
      <c r="F68" t="s" s="1">
        <v>3098</v>
      </c>
      <c r="G68" t="s" s="1">
        <v>3098</v>
      </c>
      <c r="H68" t="s" s="1">
        <v>1144</v>
      </c>
      <c r="I68" t="s" s="1">
        <v>2361</v>
      </c>
      <c r="J68" t="s" s="1">
        <v>3220</v>
      </c>
      <c r="K68" t="s" s="1">
        <v>588</v>
      </c>
      <c r="L68" t="s" s="1">
        <v>1674</v>
      </c>
      <c r="M68" t="n" s="5">
        <v>900.0</v>
      </c>
      <c r="N68" t="n" s="7">
        <v>44145.0</v>
      </c>
      <c r="O68" t="n" s="7">
        <v>44196.0</v>
      </c>
      <c r="P68" t="s" s="1">
        <v>3499</v>
      </c>
    </row>
    <row r="69" spans="1:16">
      <c r="A69" t="n" s="4">
        <v>64</v>
      </c>
      <c r="B69" s="2">
        <f>HYPERLINK("https://my.zakupki.prom.ua/remote/dispatcher/state_purchase_view/15858044", "UA-2020-03-19-003403-b")</f>
        <v/>
      </c>
      <c r="C69" t="s" s="2">
        <v>3245</v>
      </c>
      <c r="D69" s="2">
        <f>HYPERLINK("https://my.zakupki.prom.ua/remote/dispatcher/state_contracting_view/3970756", "UA-2020-03-19-003403-b-b1")</f>
        <v/>
      </c>
      <c r="E69" t="s" s="1">
        <v>365</v>
      </c>
      <c r="F69" t="s" s="1">
        <v>730</v>
      </c>
      <c r="G69" t="s" s="1">
        <v>730</v>
      </c>
      <c r="H69" t="s" s="1">
        <v>729</v>
      </c>
      <c r="I69" t="s" s="1">
        <v>2361</v>
      </c>
      <c r="J69" t="s" s="1">
        <v>3402</v>
      </c>
      <c r="K69" t="s" s="1">
        <v>375</v>
      </c>
      <c r="L69" t="s" s="1">
        <v>163</v>
      </c>
      <c r="M69" t="n" s="5">
        <v>41002.4</v>
      </c>
      <c r="N69" t="n" s="7">
        <v>43906.0</v>
      </c>
      <c r="O69" t="n" s="7">
        <v>44196.0</v>
      </c>
      <c r="P69" t="s" s="1">
        <v>3499</v>
      </c>
    </row>
    <row r="70" spans="1:16">
      <c r="A70" t="n" s="4">
        <v>65</v>
      </c>
      <c r="B70" s="2">
        <f>HYPERLINK("https://my.zakupki.prom.ua/remote/dispatcher/state_purchase_view/15939572", "UA-2020-03-24-003777-b")</f>
        <v/>
      </c>
      <c r="C70" t="s" s="2">
        <v>3245</v>
      </c>
      <c r="D70" s="2">
        <f>HYPERLINK("https://my.zakupki.prom.ua/remote/dispatcher/state_contracting_view/3995067", "UA-2020-03-24-003777-b-b1")</f>
        <v/>
      </c>
      <c r="E70" t="s" s="1">
        <v>684</v>
      </c>
      <c r="F70" t="s" s="1">
        <v>2334</v>
      </c>
      <c r="G70" t="s" s="1">
        <v>2334</v>
      </c>
      <c r="H70" t="s" s="1">
        <v>864</v>
      </c>
      <c r="I70" t="s" s="1">
        <v>2361</v>
      </c>
      <c r="J70" t="s" s="1">
        <v>3447</v>
      </c>
      <c r="K70" t="s" s="1">
        <v>487</v>
      </c>
      <c r="L70" t="s" s="1">
        <v>1661</v>
      </c>
      <c r="M70" t="n" s="5">
        <v>1500.0</v>
      </c>
      <c r="N70" t="n" s="7">
        <v>43914.0</v>
      </c>
      <c r="O70" t="n" s="7">
        <v>44196.0</v>
      </c>
      <c r="P70" t="s" s="1">
        <v>3499</v>
      </c>
    </row>
    <row r="71" spans="1:16">
      <c r="A71" t="n" s="4">
        <v>66</v>
      </c>
      <c r="B71" s="2">
        <f>HYPERLINK("https://my.zakupki.prom.ua/remote/dispatcher/state_purchase_view/15673760", "UA-2020-03-10-001245-a")</f>
        <v/>
      </c>
      <c r="C71" t="s" s="2">
        <v>3245</v>
      </c>
      <c r="D71" s="2">
        <f>HYPERLINK("https://my.zakupki.prom.ua/remote/dispatcher/state_contracting_view/3910896", "UA-2020-03-10-001245-a-a1")</f>
        <v/>
      </c>
      <c r="E71" t="s" s="1">
        <v>1867</v>
      </c>
      <c r="F71" t="s" s="1">
        <v>3228</v>
      </c>
      <c r="G71" t="s" s="1">
        <v>3240</v>
      </c>
      <c r="H71" t="s" s="1">
        <v>703</v>
      </c>
      <c r="I71" t="s" s="1">
        <v>2361</v>
      </c>
      <c r="J71" t="s" s="1">
        <v>2293</v>
      </c>
      <c r="K71" t="s" s="1">
        <v>511</v>
      </c>
      <c r="L71" t="s" s="1">
        <v>999</v>
      </c>
      <c r="M71" t="n" s="5">
        <v>21000.0</v>
      </c>
      <c r="N71" t="n" s="7">
        <v>43900.0</v>
      </c>
      <c r="O71" t="n" s="7">
        <v>44196.0</v>
      </c>
      <c r="P71" t="s" s="1">
        <v>3499</v>
      </c>
    </row>
    <row r="72" spans="1:16">
      <c r="A72" t="n" s="4">
        <v>67</v>
      </c>
      <c r="B72" s="2">
        <f>HYPERLINK("https://my.zakupki.prom.ua/remote/dispatcher/state_purchase_view/15189467", "UA-2020-02-10-001463-b")</f>
        <v/>
      </c>
      <c r="C72" t="s" s="2">
        <v>3245</v>
      </c>
      <c r="D72" s="2">
        <f>HYPERLINK("https://my.zakupki.prom.ua/remote/dispatcher/state_contracting_view/3774519", "UA-2020-02-10-001463-b-b1")</f>
        <v/>
      </c>
      <c r="E72" t="s" s="1">
        <v>1355</v>
      </c>
      <c r="F72" t="s" s="1">
        <v>595</v>
      </c>
      <c r="G72" t="s" s="1">
        <v>595</v>
      </c>
      <c r="H72" t="s" s="1">
        <v>594</v>
      </c>
      <c r="I72" t="s" s="1">
        <v>2361</v>
      </c>
      <c r="J72" t="s" s="1">
        <v>2316</v>
      </c>
      <c r="K72" t="s" s="1">
        <v>768</v>
      </c>
      <c r="L72" t="s" s="1">
        <v>476</v>
      </c>
      <c r="M72" t="n" s="5">
        <v>630.0</v>
      </c>
      <c r="N72" t="n" s="7">
        <v>43871.0</v>
      </c>
      <c r="O72" t="n" s="7">
        <v>44196.0</v>
      </c>
      <c r="P72" t="s" s="1">
        <v>3499</v>
      </c>
    </row>
    <row r="73" spans="1:16">
      <c r="A73" t="n" s="4">
        <v>68</v>
      </c>
      <c r="B73" s="2">
        <f>HYPERLINK("https://my.zakupki.prom.ua/remote/dispatcher/state_purchase_view/15970783", "UA-2020-03-26-000345-b")</f>
        <v/>
      </c>
      <c r="C73" t="s" s="2">
        <v>3245</v>
      </c>
      <c r="D73" s="2">
        <f>HYPERLINK("https://my.zakupki.prom.ua/remote/dispatcher/state_contracting_view/4005045", "UA-2020-03-26-000345-b-b1")</f>
        <v/>
      </c>
      <c r="E73" t="s" s="1">
        <v>2196</v>
      </c>
      <c r="F73" t="s" s="1">
        <v>689</v>
      </c>
      <c r="G73" t="s" s="1">
        <v>2432</v>
      </c>
      <c r="H73" t="s" s="1">
        <v>688</v>
      </c>
      <c r="I73" t="s" s="1">
        <v>2361</v>
      </c>
      <c r="J73" t="s" s="1">
        <v>3392</v>
      </c>
      <c r="K73" t="s" s="1">
        <v>428</v>
      </c>
      <c r="L73" t="s" s="1">
        <v>1809</v>
      </c>
      <c r="M73" t="n" s="5">
        <v>10000.0</v>
      </c>
      <c r="N73" t="n" s="7">
        <v>43913.0</v>
      </c>
      <c r="O73" t="n" s="7">
        <v>44196.0</v>
      </c>
      <c r="P73" t="s" s="1">
        <v>3499</v>
      </c>
    </row>
    <row r="74" spans="1:16">
      <c r="A74" t="n" s="4">
        <v>69</v>
      </c>
      <c r="B74" s="2">
        <f>HYPERLINK("https://my.zakupki.prom.ua/remote/dispatcher/state_purchase_view/16006186", "UA-2020-03-27-002601-b")</f>
        <v/>
      </c>
      <c r="C74" t="s" s="2">
        <v>3245</v>
      </c>
      <c r="D74" s="2">
        <f>HYPERLINK("https://my.zakupki.prom.ua/remote/dispatcher/state_contracting_view/4017237", "UA-2020-03-27-002601-b-b1")</f>
        <v/>
      </c>
      <c r="E74" t="s" s="1">
        <v>83</v>
      </c>
      <c r="F74" t="s" s="1">
        <v>2326</v>
      </c>
      <c r="G74" t="s" s="1">
        <v>2326</v>
      </c>
      <c r="H74" t="s" s="1">
        <v>718</v>
      </c>
      <c r="I74" t="s" s="1">
        <v>2361</v>
      </c>
      <c r="J74" t="s" s="1">
        <v>3392</v>
      </c>
      <c r="K74" t="s" s="1">
        <v>428</v>
      </c>
      <c r="L74" t="s" s="1">
        <v>1840</v>
      </c>
      <c r="M74" t="n" s="5">
        <v>594.79</v>
      </c>
      <c r="N74" t="n" s="7">
        <v>43914.0</v>
      </c>
      <c r="O74" t="n" s="7">
        <v>44196.0</v>
      </c>
      <c r="P74" t="s" s="1">
        <v>3499</v>
      </c>
    </row>
    <row r="75" spans="1:16">
      <c r="A75" t="n" s="4">
        <v>70</v>
      </c>
      <c r="B75" s="2">
        <f>HYPERLINK("https://my.zakupki.prom.ua/remote/dispatcher/state_purchase_view/15706508", "UA-2020-03-11-003725-b")</f>
        <v/>
      </c>
      <c r="C75" t="s" s="2">
        <v>3245</v>
      </c>
      <c r="D75" s="2">
        <f>HYPERLINK("https://my.zakupki.prom.ua/remote/dispatcher/state_contracting_view/3920820", "UA-2020-03-11-003725-b-b1")</f>
        <v/>
      </c>
      <c r="E75" t="s" s="1">
        <v>2001</v>
      </c>
      <c r="F75" t="s" s="1">
        <v>3337</v>
      </c>
      <c r="G75" t="s" s="1">
        <v>3337</v>
      </c>
      <c r="H75" t="s" s="1">
        <v>727</v>
      </c>
      <c r="I75" t="s" s="1">
        <v>2361</v>
      </c>
      <c r="J75" t="s" s="1">
        <v>3221</v>
      </c>
      <c r="K75" t="s" s="1">
        <v>296</v>
      </c>
      <c r="L75" t="s" s="1">
        <v>1302</v>
      </c>
      <c r="M75" t="n" s="5">
        <v>5510.7</v>
      </c>
      <c r="N75" t="n" s="7">
        <v>43901.0</v>
      </c>
      <c r="O75" t="n" s="7">
        <v>44196.0</v>
      </c>
      <c r="P75" t="s" s="1">
        <v>3499</v>
      </c>
    </row>
    <row r="76" spans="1:16">
      <c r="A76" t="n" s="4">
        <v>71</v>
      </c>
      <c r="B76" s="2">
        <f>HYPERLINK("https://my.zakupki.prom.ua/remote/dispatcher/state_purchase_view/15678342", "UA-2020-03-10-001980-a")</f>
        <v/>
      </c>
      <c r="C76" t="s" s="2">
        <v>3245</v>
      </c>
      <c r="D76" s="2">
        <f>HYPERLINK("https://my.zakupki.prom.ua/remote/dispatcher/state_contracting_view/3912446", "UA-2020-03-10-001980-a-a1")</f>
        <v/>
      </c>
      <c r="E76" t="s" s="1">
        <v>567</v>
      </c>
      <c r="F76" t="s" s="1">
        <v>3336</v>
      </c>
      <c r="G76" t="s" s="1">
        <v>3336</v>
      </c>
      <c r="H76" t="s" s="1">
        <v>728</v>
      </c>
      <c r="I76" t="s" s="1">
        <v>2361</v>
      </c>
      <c r="J76" t="s" s="1">
        <v>3409</v>
      </c>
      <c r="K76" t="s" s="1">
        <v>823</v>
      </c>
      <c r="L76" t="s" s="1">
        <v>1170</v>
      </c>
      <c r="M76" t="n" s="5">
        <v>17462.77</v>
      </c>
      <c r="N76" t="n" s="7">
        <v>43900.0</v>
      </c>
      <c r="O76" t="n" s="7">
        <v>44196.0</v>
      </c>
      <c r="P76" t="s" s="1">
        <v>3499</v>
      </c>
    </row>
    <row r="77" spans="1:16">
      <c r="A77" t="n" s="4">
        <v>72</v>
      </c>
      <c r="B77" s="2">
        <f>HYPERLINK("https://my.zakupki.prom.ua/remote/dispatcher/state_purchase_view/15689743", "UA-2020-03-11-000305-b")</f>
        <v/>
      </c>
      <c r="C77" t="s" s="2">
        <v>3245</v>
      </c>
      <c r="D77" s="2">
        <f>HYPERLINK("https://my.zakupki.prom.ua/remote/dispatcher/state_contracting_view/3916061", "UA-2020-03-11-000305-b-b1")</f>
        <v/>
      </c>
      <c r="E77" t="s" s="1">
        <v>2035</v>
      </c>
      <c r="F77" t="s" s="1">
        <v>3</v>
      </c>
      <c r="G77" t="s" s="1">
        <v>3327</v>
      </c>
      <c r="H77" t="s" s="1">
        <v>1038</v>
      </c>
      <c r="I77" t="s" s="1">
        <v>2361</v>
      </c>
      <c r="J77" t="s" s="1">
        <v>3389</v>
      </c>
      <c r="K77" t="s" s="1">
        <v>956</v>
      </c>
      <c r="L77" t="s" s="1">
        <v>1336</v>
      </c>
      <c r="M77" t="n" s="5">
        <v>13559.0</v>
      </c>
      <c r="N77" t="n" s="7">
        <v>43901.0</v>
      </c>
      <c r="O77" t="n" s="7">
        <v>44196.0</v>
      </c>
      <c r="P77" t="s" s="1">
        <v>3499</v>
      </c>
    </row>
    <row r="78" spans="1:16">
      <c r="A78" t="n" s="4">
        <v>73</v>
      </c>
      <c r="B78" s="2">
        <f>HYPERLINK("https://my.zakupki.prom.ua/remote/dispatcher/state_purchase_view/17852338", "UA-2020-07-14-002229-c")</f>
        <v/>
      </c>
      <c r="C78" t="s" s="2">
        <v>3245</v>
      </c>
      <c r="D78" s="2">
        <f>HYPERLINK("https://my.zakupki.prom.ua/remote/dispatcher/state_contracting_view/4817019", "UA-2020-07-14-002229-c-c1")</f>
        <v/>
      </c>
      <c r="E78" t="s" s="1">
        <v>928</v>
      </c>
      <c r="F78" t="s" s="1">
        <v>2761</v>
      </c>
      <c r="G78" t="s" s="1">
        <v>2761</v>
      </c>
      <c r="H78" t="s" s="1">
        <v>690</v>
      </c>
      <c r="I78" t="s" s="1">
        <v>2361</v>
      </c>
      <c r="J78" t="s" s="1">
        <v>3377</v>
      </c>
      <c r="K78" t="s" s="1">
        <v>722</v>
      </c>
      <c r="L78" t="s" s="1">
        <v>236</v>
      </c>
      <c r="M78" t="n" s="5">
        <v>61450.0</v>
      </c>
      <c r="N78" t="n" s="7">
        <v>44025.0</v>
      </c>
      <c r="O78" t="n" s="7">
        <v>44196.0</v>
      </c>
      <c r="P78" t="s" s="1">
        <v>3499</v>
      </c>
    </row>
    <row r="79" spans="1:16">
      <c r="A79" t="n" s="4">
        <v>74</v>
      </c>
      <c r="B79" s="2">
        <f>HYPERLINK("https://my.zakupki.prom.ua/remote/dispatcher/state_purchase_view/17969807", "UA-2020-07-20-001411-b")</f>
        <v/>
      </c>
      <c r="C79" t="s" s="2">
        <v>3245</v>
      </c>
      <c r="D79" s="2">
        <f>HYPERLINK("https://my.zakupki.prom.ua/remote/dispatcher/state_contracting_view/4871410", "UA-2020-07-20-001411-b-b1")</f>
        <v/>
      </c>
      <c r="E79" t="s" s="1">
        <v>324</v>
      </c>
      <c r="F79" t="s" s="1">
        <v>2838</v>
      </c>
      <c r="G79" t="s" s="1">
        <v>2838</v>
      </c>
      <c r="H79" t="s" s="1">
        <v>703</v>
      </c>
      <c r="I79" t="s" s="1">
        <v>2361</v>
      </c>
      <c r="J79" t="s" s="1">
        <v>3403</v>
      </c>
      <c r="K79" t="s" s="1">
        <v>771</v>
      </c>
      <c r="L79" t="s" s="1">
        <v>754</v>
      </c>
      <c r="M79" t="n" s="5">
        <v>13500.0</v>
      </c>
      <c r="N79" t="n" s="7">
        <v>44029.0</v>
      </c>
      <c r="O79" t="n" s="7">
        <v>44196.0</v>
      </c>
      <c r="P79" t="s" s="1">
        <v>3499</v>
      </c>
    </row>
    <row r="80" spans="1:16">
      <c r="A80" t="n" s="4">
        <v>75</v>
      </c>
      <c r="B80" s="2">
        <f>HYPERLINK("https://my.zakupki.prom.ua/remote/dispatcher/state_purchase_view/19569489", "UA-2020-09-24-006715-a")</f>
        <v/>
      </c>
      <c r="C80" t="s" s="2">
        <v>3245</v>
      </c>
      <c r="D80" s="2">
        <f>HYPERLINK("https://my.zakupki.prom.ua/remote/dispatcher/state_contracting_view/5625735", "UA-2020-09-24-006715-a-a1")</f>
        <v/>
      </c>
      <c r="E80" t="s" s="1">
        <v>1743</v>
      </c>
      <c r="F80" t="s" s="1">
        <v>3138</v>
      </c>
      <c r="G80" t="s" s="1">
        <v>3138</v>
      </c>
      <c r="H80" t="s" s="1">
        <v>1612</v>
      </c>
      <c r="I80" t="s" s="1">
        <v>2361</v>
      </c>
      <c r="J80" t="s" s="1">
        <v>3214</v>
      </c>
      <c r="K80" t="s" s="1">
        <v>10</v>
      </c>
      <c r="L80" t="s" s="1">
        <v>100</v>
      </c>
      <c r="M80" t="n" s="5">
        <v>22400.0</v>
      </c>
      <c r="N80" t="n" s="7">
        <v>44098.0</v>
      </c>
      <c r="O80" t="n" s="7">
        <v>44196.0</v>
      </c>
      <c r="P80" t="s" s="1">
        <v>3499</v>
      </c>
    </row>
    <row r="81" spans="1:16">
      <c r="A81" t="n" s="4">
        <v>76</v>
      </c>
      <c r="B81" s="2">
        <f>HYPERLINK("https://my.zakupki.prom.ua/remote/dispatcher/state_purchase_view/19510658", "UA-2020-09-23-001094-b")</f>
        <v/>
      </c>
      <c r="C81" t="s" s="2">
        <v>3245</v>
      </c>
      <c r="D81" s="2">
        <f>HYPERLINK("https://my.zakupki.prom.ua/remote/dispatcher/state_contracting_view/5597699", "UA-2020-09-23-001094-b-b1")</f>
        <v/>
      </c>
      <c r="E81" t="s" s="1">
        <v>317</v>
      </c>
      <c r="F81" t="s" s="1">
        <v>2602</v>
      </c>
      <c r="G81" t="s" s="1">
        <v>2602</v>
      </c>
      <c r="H81" t="s" s="1">
        <v>221</v>
      </c>
      <c r="I81" t="s" s="1">
        <v>2361</v>
      </c>
      <c r="J81" t="s" s="1">
        <v>3467</v>
      </c>
      <c r="K81" t="s" s="1">
        <v>766</v>
      </c>
      <c r="L81" t="s" s="1">
        <v>1377</v>
      </c>
      <c r="M81" t="n" s="5">
        <v>5130.0</v>
      </c>
      <c r="N81" t="n" s="7">
        <v>44095.0</v>
      </c>
      <c r="O81" t="n" s="7">
        <v>44196.0</v>
      </c>
      <c r="P81" t="s" s="1">
        <v>3499</v>
      </c>
    </row>
    <row r="82" spans="1:16">
      <c r="A82" t="n" s="4">
        <v>77</v>
      </c>
      <c r="B82" s="2">
        <f>HYPERLINK("https://my.zakupki.prom.ua/remote/dispatcher/state_purchase_view/19511165", "UA-2020-09-23-001283-b")</f>
        <v/>
      </c>
      <c r="C82" t="s" s="2">
        <v>3245</v>
      </c>
      <c r="D82" s="2">
        <f>HYPERLINK("https://my.zakupki.prom.ua/remote/dispatcher/state_contracting_view/5597732", "UA-2020-09-23-001283-b-b1")</f>
        <v/>
      </c>
      <c r="E82" t="s" s="1">
        <v>1943</v>
      </c>
      <c r="F82" t="s" s="1">
        <v>2539</v>
      </c>
      <c r="G82" t="s" s="1">
        <v>2539</v>
      </c>
      <c r="H82" t="s" s="1">
        <v>207</v>
      </c>
      <c r="I82" t="s" s="1">
        <v>2361</v>
      </c>
      <c r="J82" t="s" s="1">
        <v>3467</v>
      </c>
      <c r="K82" t="s" s="1">
        <v>766</v>
      </c>
      <c r="L82" t="s" s="1">
        <v>1378</v>
      </c>
      <c r="M82" t="n" s="5">
        <v>18341.5</v>
      </c>
      <c r="N82" t="n" s="7">
        <v>44095.0</v>
      </c>
      <c r="O82" t="n" s="7">
        <v>44196.0</v>
      </c>
      <c r="P82" t="s" s="1">
        <v>3499</v>
      </c>
    </row>
    <row r="83" spans="1:16">
      <c r="A83" t="n" s="4">
        <v>78</v>
      </c>
      <c r="B83" s="2">
        <f>HYPERLINK("https://my.zakupki.prom.ua/remote/dispatcher/state_purchase_view/19512799", "UA-2020-09-23-001848-b")</f>
        <v/>
      </c>
      <c r="C83" t="s" s="2">
        <v>3245</v>
      </c>
      <c r="D83" s="2">
        <f>HYPERLINK("https://my.zakupki.prom.ua/remote/dispatcher/state_contracting_view/5598305", "UA-2020-09-23-001848-b-b1")</f>
        <v/>
      </c>
      <c r="E83" t="s" s="1">
        <v>577</v>
      </c>
      <c r="F83" t="s" s="1">
        <v>2587</v>
      </c>
      <c r="G83" t="s" s="1">
        <v>2587</v>
      </c>
      <c r="H83" t="s" s="1">
        <v>219</v>
      </c>
      <c r="I83" t="s" s="1">
        <v>2361</v>
      </c>
      <c r="J83" t="s" s="1">
        <v>3467</v>
      </c>
      <c r="K83" t="s" s="1">
        <v>766</v>
      </c>
      <c r="L83" t="s" s="1">
        <v>1381</v>
      </c>
      <c r="M83" t="n" s="5">
        <v>10868.0</v>
      </c>
      <c r="N83" t="n" s="7">
        <v>44095.0</v>
      </c>
      <c r="O83" t="n" s="7">
        <v>44196.0</v>
      </c>
      <c r="P83" t="s" s="1">
        <v>3499</v>
      </c>
    </row>
    <row r="84" spans="1:16">
      <c r="A84" t="n" s="4">
        <v>79</v>
      </c>
      <c r="B84" s="2">
        <f>HYPERLINK("https://my.zakupki.prom.ua/remote/dispatcher/state_purchase_view/19514143", "UA-2020-09-23-002327-b")</f>
        <v/>
      </c>
      <c r="C84" t="s" s="2">
        <v>3245</v>
      </c>
      <c r="D84" s="2">
        <f>HYPERLINK("https://my.zakupki.prom.ua/remote/dispatcher/state_contracting_view/5599066", "UA-2020-09-23-002327-b-b1")</f>
        <v/>
      </c>
      <c r="E84" t="s" s="1">
        <v>1871</v>
      </c>
      <c r="F84" t="s" s="1">
        <v>2910</v>
      </c>
      <c r="G84" t="s" s="1">
        <v>3547</v>
      </c>
      <c r="H84" t="s" s="1">
        <v>718</v>
      </c>
      <c r="I84" t="s" s="1">
        <v>2361</v>
      </c>
      <c r="J84" t="s" s="1">
        <v>3392</v>
      </c>
      <c r="K84" t="s" s="1">
        <v>428</v>
      </c>
      <c r="L84" t="s" s="1">
        <v>1383</v>
      </c>
      <c r="M84" t="n" s="5">
        <v>3252.11</v>
      </c>
      <c r="N84" t="n" s="7">
        <v>44097.0</v>
      </c>
      <c r="O84" t="n" s="7">
        <v>44196.0</v>
      </c>
      <c r="P84" t="s" s="1">
        <v>3499</v>
      </c>
    </row>
    <row r="85" spans="1:16">
      <c r="A85" t="n" s="4">
        <v>80</v>
      </c>
      <c r="B85" s="2">
        <f>HYPERLINK("https://my.zakupki.prom.ua/remote/dispatcher/state_purchase_view/19443745", "UA-2020-09-21-006318-b")</f>
        <v/>
      </c>
      <c r="C85" t="s" s="2">
        <v>3245</v>
      </c>
      <c r="D85" s="2">
        <f>HYPERLINK("https://my.zakupki.prom.ua/remote/dispatcher/state_contracting_view/5565678", "UA-2020-09-21-006318-b-b1")</f>
        <v/>
      </c>
      <c r="E85" t="s" s="1">
        <v>1977</v>
      </c>
      <c r="F85" t="s" s="1">
        <v>2934</v>
      </c>
      <c r="G85" t="s" s="1">
        <v>2934</v>
      </c>
      <c r="H85" t="s" s="1">
        <v>724</v>
      </c>
      <c r="I85" t="s" s="1">
        <v>2361</v>
      </c>
      <c r="J85" t="s" s="1">
        <v>2357</v>
      </c>
      <c r="K85" t="s" s="1">
        <v>713</v>
      </c>
      <c r="L85" t="s" s="1">
        <v>1364</v>
      </c>
      <c r="M85" t="n" s="5">
        <v>6580.0</v>
      </c>
      <c r="N85" t="n" s="7">
        <v>44095.0</v>
      </c>
      <c r="O85" t="n" s="7">
        <v>44196.0</v>
      </c>
      <c r="P85" t="s" s="1">
        <v>3499</v>
      </c>
    </row>
    <row r="86" spans="1:16">
      <c r="A86" t="n" s="4">
        <v>81</v>
      </c>
      <c r="B86" s="2">
        <f>HYPERLINK("https://my.zakupki.prom.ua/remote/dispatcher/state_purchase_view/18861475", "UA-2020-08-28-003305-b")</f>
        <v/>
      </c>
      <c r="C86" t="s" s="2">
        <v>3245</v>
      </c>
      <c r="D86" s="2">
        <f>HYPERLINK("https://my.zakupki.prom.ua/remote/dispatcher/state_contracting_view/5656058", "UA-2020-08-28-003305-b-a1")</f>
        <v/>
      </c>
      <c r="E86" t="s" s="1">
        <v>1395</v>
      </c>
      <c r="F86" t="s" s="1">
        <v>2865</v>
      </c>
      <c r="G86" t="s" s="1">
        <v>3478</v>
      </c>
      <c r="H86" t="s" s="1">
        <v>718</v>
      </c>
      <c r="I86" t="s" s="1">
        <v>2311</v>
      </c>
      <c r="J86" t="s" s="1">
        <v>2290</v>
      </c>
      <c r="K86" t="s" s="1">
        <v>852</v>
      </c>
      <c r="L86" t="s" s="1">
        <v>1394</v>
      </c>
      <c r="M86" t="n" s="5">
        <v>263931.18</v>
      </c>
      <c r="N86" t="n" s="7">
        <v>44102.0</v>
      </c>
      <c r="O86" t="n" s="7">
        <v>44196.0</v>
      </c>
      <c r="P86" t="s" s="1">
        <v>3499</v>
      </c>
    </row>
    <row r="87" spans="1:16">
      <c r="A87" t="n" s="4">
        <v>82</v>
      </c>
      <c r="B87" s="2">
        <f>HYPERLINK("https://my.zakupki.prom.ua/remote/dispatcher/state_purchase_view/19636753", "UA-2020-09-28-000666-a")</f>
        <v/>
      </c>
      <c r="C87" t="s" s="2">
        <v>3245</v>
      </c>
      <c r="D87" s="2">
        <f>HYPERLINK("https://my.zakupki.prom.ua/remote/dispatcher/state_contracting_view/5659123", "UA-2020-09-28-000666-a-a1")</f>
        <v/>
      </c>
      <c r="E87" t="s" s="1">
        <v>1298</v>
      </c>
      <c r="F87" t="s" s="1">
        <v>2887</v>
      </c>
      <c r="G87" t="s" s="1">
        <v>2887</v>
      </c>
      <c r="H87" t="s" s="1">
        <v>718</v>
      </c>
      <c r="I87" t="s" s="1">
        <v>2361</v>
      </c>
      <c r="J87" t="s" s="1">
        <v>3414</v>
      </c>
      <c r="K87" t="s" s="1">
        <v>799</v>
      </c>
      <c r="L87" t="s" s="1">
        <v>3431</v>
      </c>
      <c r="M87" t="n" s="5">
        <v>12500.0</v>
      </c>
      <c r="N87" t="n" s="7">
        <v>44102.0</v>
      </c>
      <c r="O87" t="n" s="7">
        <v>44196.0</v>
      </c>
      <c r="P87" t="s" s="1">
        <v>3499</v>
      </c>
    </row>
    <row r="88" spans="1:16">
      <c r="A88" t="n" s="4">
        <v>83</v>
      </c>
      <c r="B88" s="2">
        <f>HYPERLINK("https://my.zakupki.prom.ua/remote/dispatcher/state_purchase_view/19733275", "UA-2020-10-01-000475-a")</f>
        <v/>
      </c>
      <c r="C88" t="s" s="2">
        <v>3245</v>
      </c>
      <c r="D88" s="2">
        <f>HYPERLINK("https://my.zakupki.prom.ua/remote/dispatcher/state_contracting_view/5703242", "UA-2020-10-01-000475-a-a1")</f>
        <v/>
      </c>
      <c r="E88" t="s" s="1">
        <v>1459</v>
      </c>
      <c r="F88" t="s" s="1">
        <v>2802</v>
      </c>
      <c r="G88" t="s" s="1">
        <v>2802</v>
      </c>
      <c r="H88" t="s" s="1">
        <v>690</v>
      </c>
      <c r="I88" t="s" s="1">
        <v>2361</v>
      </c>
      <c r="J88" t="s" s="1">
        <v>3302</v>
      </c>
      <c r="K88" t="s" s="1">
        <v>617</v>
      </c>
      <c r="L88" t="s" s="1">
        <v>1414</v>
      </c>
      <c r="M88" t="n" s="5">
        <v>1515.0</v>
      </c>
      <c r="N88" t="n" s="7">
        <v>44105.0</v>
      </c>
      <c r="O88" t="n" s="7">
        <v>44196.0</v>
      </c>
      <c r="P88" t="s" s="1">
        <v>3499</v>
      </c>
    </row>
    <row r="89" spans="1:16">
      <c r="A89" t="n" s="4">
        <v>84</v>
      </c>
      <c r="B89" s="2">
        <f>HYPERLINK("https://my.zakupki.prom.ua/remote/dispatcher/state_purchase_view/15138544", "UA-2020-02-06-002942-b")</f>
        <v/>
      </c>
      <c r="C89" t="s" s="2">
        <v>3245</v>
      </c>
      <c r="D89" s="2">
        <f>HYPERLINK("https://my.zakupki.prom.ua/remote/dispatcher/state_contracting_view/3762293", "UA-2020-02-06-002942-b-b1")</f>
        <v/>
      </c>
      <c r="E89" t="s" s="1">
        <v>2010</v>
      </c>
      <c r="F89" t="s" s="1">
        <v>1308</v>
      </c>
      <c r="G89" t="s" s="1">
        <v>1308</v>
      </c>
      <c r="H89" t="s" s="1">
        <v>1307</v>
      </c>
      <c r="I89" t="s" s="1">
        <v>2361</v>
      </c>
      <c r="J89" t="s" s="1">
        <v>2286</v>
      </c>
      <c r="K89" t="s" s="1">
        <v>54</v>
      </c>
      <c r="L89" t="s" s="1">
        <v>261</v>
      </c>
      <c r="M89" t="n" s="5">
        <v>12000.0</v>
      </c>
      <c r="N89" t="n" s="7">
        <v>43867.0</v>
      </c>
      <c r="O89" t="n" s="7">
        <v>44196.0</v>
      </c>
      <c r="P89" t="s" s="1">
        <v>3499</v>
      </c>
    </row>
    <row r="90" spans="1:16">
      <c r="A90" t="n" s="4">
        <v>85</v>
      </c>
      <c r="B90" s="2">
        <f>HYPERLINK("https://my.zakupki.prom.ua/remote/dispatcher/state_purchase_view/17132035", "UA-2020-06-10-001837-b")</f>
        <v/>
      </c>
      <c r="C90" t="s" s="2">
        <v>3245</v>
      </c>
      <c r="D90" s="2">
        <f>HYPERLINK("https://my.zakupki.prom.ua/remote/dispatcher/state_contracting_view/4484994", "UA-2020-06-10-001837-b-b1")</f>
        <v/>
      </c>
      <c r="E90" t="s" s="1">
        <v>1055</v>
      </c>
      <c r="F90" t="s" s="1">
        <v>3334</v>
      </c>
      <c r="G90" t="s" s="1">
        <v>3334</v>
      </c>
      <c r="H90" t="s" s="1">
        <v>205</v>
      </c>
      <c r="I90" t="s" s="1">
        <v>2361</v>
      </c>
      <c r="J90" t="s" s="1">
        <v>3467</v>
      </c>
      <c r="K90" t="s" s="1">
        <v>766</v>
      </c>
      <c r="L90" t="s" s="1">
        <v>273</v>
      </c>
      <c r="M90" t="n" s="5">
        <v>12219.5</v>
      </c>
      <c r="N90" t="n" s="7">
        <v>43991.0</v>
      </c>
      <c r="O90" t="n" s="7">
        <v>44196.0</v>
      </c>
      <c r="P90" t="s" s="1">
        <v>3499</v>
      </c>
    </row>
    <row r="91" spans="1:16">
      <c r="A91" t="n" s="4">
        <v>86</v>
      </c>
      <c r="B91" s="2">
        <f>HYPERLINK("https://my.zakupki.prom.ua/remote/dispatcher/state_purchase_view/17488614", "UA-2020-06-24-011928-a")</f>
        <v/>
      </c>
      <c r="C91" t="s" s="2">
        <v>3245</v>
      </c>
      <c r="D91" s="2">
        <f>HYPERLINK("https://my.zakupki.prom.ua/remote/dispatcher/state_contracting_view/4647734", "UA-2020-06-24-011928-a-a1")</f>
        <v/>
      </c>
      <c r="E91" t="s" s="1">
        <v>1957</v>
      </c>
      <c r="F91" t="s" s="1">
        <v>2411</v>
      </c>
      <c r="G91" t="s" s="1">
        <v>2385</v>
      </c>
      <c r="H91" t="s" s="1">
        <v>690</v>
      </c>
      <c r="I91" t="s" s="1">
        <v>2361</v>
      </c>
      <c r="J91" t="s" s="1">
        <v>3392</v>
      </c>
      <c r="K91" t="s" s="1">
        <v>428</v>
      </c>
      <c r="L91" t="s" s="1">
        <v>378</v>
      </c>
      <c r="M91" t="n" s="5">
        <v>626.0</v>
      </c>
      <c r="N91" t="n" s="7">
        <v>44005.0</v>
      </c>
      <c r="O91" t="n" s="7">
        <v>44196.0</v>
      </c>
      <c r="P91" t="s" s="1">
        <v>3499</v>
      </c>
    </row>
    <row r="92" spans="1:16">
      <c r="A92" t="n" s="4">
        <v>87</v>
      </c>
      <c r="B92" s="2">
        <f>HYPERLINK("https://my.zakupki.prom.ua/remote/dispatcher/state_purchase_view/17772913", "UA-2020-07-09-006323-c")</f>
        <v/>
      </c>
      <c r="C92" t="s" s="2">
        <v>3245</v>
      </c>
      <c r="D92" s="2">
        <f>HYPERLINK("https://my.zakupki.prom.ua/remote/dispatcher/state_contracting_view/4779820", "UA-2020-07-09-006323-c-c1")</f>
        <v/>
      </c>
      <c r="E92" t="s" s="1">
        <v>2068</v>
      </c>
      <c r="F92" t="s" s="1">
        <v>2504</v>
      </c>
      <c r="G92" t="s" s="1">
        <v>2504</v>
      </c>
      <c r="H92" t="s" s="1">
        <v>38</v>
      </c>
      <c r="I92" t="s" s="1">
        <v>2361</v>
      </c>
      <c r="J92" t="s" s="1">
        <v>3467</v>
      </c>
      <c r="K92" t="s" s="1">
        <v>766</v>
      </c>
      <c r="L92" t="s" s="1">
        <v>600</v>
      </c>
      <c r="M92" t="n" s="5">
        <v>415.8</v>
      </c>
      <c r="N92" t="n" s="7">
        <v>44019.0</v>
      </c>
      <c r="O92" t="n" s="7">
        <v>44196.0</v>
      </c>
      <c r="P92" t="s" s="1">
        <v>3499</v>
      </c>
    </row>
    <row r="93" spans="1:16">
      <c r="A93" t="n" s="4">
        <v>88</v>
      </c>
      <c r="B93" s="2">
        <f>HYPERLINK("https://my.zakupki.prom.ua/remote/dispatcher/state_purchase_view/17721831", "UA-2020-07-08-001299-c")</f>
        <v/>
      </c>
      <c r="C93" t="s" s="2">
        <v>3245</v>
      </c>
      <c r="D93" s="2">
        <f>HYPERLINK("https://my.zakupki.prom.ua/remote/dispatcher/state_contracting_view/4756192", "UA-2020-07-08-001299-c-c1")</f>
        <v/>
      </c>
      <c r="E93" t="s" s="1">
        <v>714</v>
      </c>
      <c r="F93" t="s" s="1">
        <v>3091</v>
      </c>
      <c r="G93" t="s" s="1">
        <v>3091</v>
      </c>
      <c r="H93" t="s" s="1">
        <v>1047</v>
      </c>
      <c r="I93" t="s" s="1">
        <v>2361</v>
      </c>
      <c r="J93" t="s" s="1">
        <v>3411</v>
      </c>
      <c r="K93" t="s" s="1">
        <v>810</v>
      </c>
      <c r="L93" t="s" s="1">
        <v>416</v>
      </c>
      <c r="M93" t="n" s="5">
        <v>30073.82</v>
      </c>
      <c r="N93" t="n" s="7">
        <v>44020.0</v>
      </c>
      <c r="O93" t="n" s="7">
        <v>44196.0</v>
      </c>
      <c r="P93" t="s" s="1">
        <v>3499</v>
      </c>
    </row>
    <row r="94" spans="1:16">
      <c r="A94" t="n" s="4">
        <v>89</v>
      </c>
      <c r="B94" s="2">
        <f>HYPERLINK("https://my.zakupki.prom.ua/remote/dispatcher/state_purchase_view/17709812", "UA-2020-07-07-003760-c")</f>
        <v/>
      </c>
      <c r="C94" t="s" s="2">
        <v>3245</v>
      </c>
      <c r="D94" s="2">
        <f>HYPERLINK("https://my.zakupki.prom.ua/remote/dispatcher/state_contracting_view/4750317", "UA-2020-07-07-003760-c-c1")</f>
        <v/>
      </c>
      <c r="E94" t="s" s="1">
        <v>1811</v>
      </c>
      <c r="F94" t="s" s="1">
        <v>2828</v>
      </c>
      <c r="G94" t="s" s="1">
        <v>2828</v>
      </c>
      <c r="H94" t="s" s="1">
        <v>703</v>
      </c>
      <c r="I94" t="s" s="1">
        <v>2361</v>
      </c>
      <c r="J94" t="s" s="1">
        <v>3461</v>
      </c>
      <c r="K94" t="s" s="1">
        <v>534</v>
      </c>
      <c r="L94" t="s" s="1">
        <v>527</v>
      </c>
      <c r="M94" t="n" s="5">
        <v>148296.0</v>
      </c>
      <c r="N94" t="n" s="7">
        <v>44018.0</v>
      </c>
      <c r="O94" t="n" s="7">
        <v>44196.0</v>
      </c>
      <c r="P94" t="s" s="1">
        <v>3499</v>
      </c>
    </row>
    <row r="95" spans="1:16">
      <c r="A95" t="n" s="4">
        <v>90</v>
      </c>
      <c r="B95" s="2">
        <f>HYPERLINK("https://my.zakupki.prom.ua/remote/dispatcher/state_purchase_view/17703443", "UA-2020-07-07-001967-c")</f>
        <v/>
      </c>
      <c r="C95" t="s" s="2">
        <v>3245</v>
      </c>
      <c r="D95" s="2">
        <f>HYPERLINK("https://my.zakupki.prom.ua/remote/dispatcher/state_contracting_view/4747691", "UA-2020-07-07-001967-c-c1")</f>
        <v/>
      </c>
      <c r="E95" t="s" s="1">
        <v>2028</v>
      </c>
      <c r="F95" t="s" s="1">
        <v>2843</v>
      </c>
      <c r="G95" t="s" s="1">
        <v>2843</v>
      </c>
      <c r="H95" t="s" s="1">
        <v>703</v>
      </c>
      <c r="I95" t="s" s="1">
        <v>2361</v>
      </c>
      <c r="J95" t="s" s="1">
        <v>3392</v>
      </c>
      <c r="K95" t="s" s="1">
        <v>428</v>
      </c>
      <c r="L95" t="s" s="1">
        <v>525</v>
      </c>
      <c r="M95" t="n" s="5">
        <v>5212.65</v>
      </c>
      <c r="N95" t="n" s="7">
        <v>44018.0</v>
      </c>
      <c r="O95" t="n" s="7">
        <v>44196.0</v>
      </c>
      <c r="P95" t="s" s="1">
        <v>3499</v>
      </c>
    </row>
    <row r="96" spans="1:16">
      <c r="A96" t="n" s="4">
        <v>91</v>
      </c>
      <c r="B96" s="2">
        <f>HYPERLINK("https://my.zakupki.prom.ua/remote/dispatcher/state_purchase_view/20206290", "UA-2020-10-19-003309-c")</f>
        <v/>
      </c>
      <c r="C96" t="s" s="2">
        <v>3245</v>
      </c>
      <c r="D96" s="2">
        <f>HYPERLINK("https://my.zakupki.prom.ua/remote/dispatcher/state_contracting_view/5925881", "UA-2020-10-19-003309-c-c1")</f>
        <v/>
      </c>
      <c r="E96" t="s" s="1">
        <v>2189</v>
      </c>
      <c r="F96" t="s" s="1">
        <v>2959</v>
      </c>
      <c r="G96" t="s" s="1">
        <v>2959</v>
      </c>
      <c r="H96" t="s" s="1">
        <v>738</v>
      </c>
      <c r="I96" t="s" s="1">
        <v>2361</v>
      </c>
      <c r="J96" t="s" s="1">
        <v>3467</v>
      </c>
      <c r="K96" t="s" s="1">
        <v>766</v>
      </c>
      <c r="L96" t="s" s="1">
        <v>1539</v>
      </c>
      <c r="M96" t="n" s="5">
        <v>1660.8</v>
      </c>
      <c r="N96" t="n" s="7">
        <v>44120.0</v>
      </c>
      <c r="O96" t="n" s="7">
        <v>44196.0</v>
      </c>
      <c r="P96" t="s" s="1">
        <v>3499</v>
      </c>
    </row>
    <row r="97" spans="1:16">
      <c r="A97" t="n" s="4">
        <v>92</v>
      </c>
      <c r="B97" s="2">
        <f>HYPERLINK("https://my.zakupki.prom.ua/remote/dispatcher/state_purchase_view/20131505", "UA-2020-10-15-009239-c")</f>
        <v/>
      </c>
      <c r="C97" t="s" s="2">
        <v>3245</v>
      </c>
      <c r="D97" s="2">
        <f>HYPERLINK("https://my.zakupki.prom.ua/remote/dispatcher/state_contracting_view/5890700", "UA-2020-10-15-009239-c-c1")</f>
        <v/>
      </c>
      <c r="E97" t="s" s="1">
        <v>2211</v>
      </c>
      <c r="F97" t="s" s="1">
        <v>2951</v>
      </c>
      <c r="G97" t="s" s="1">
        <v>2951</v>
      </c>
      <c r="H97" t="s" s="1">
        <v>727</v>
      </c>
      <c r="I97" t="s" s="1">
        <v>2361</v>
      </c>
      <c r="J97" t="s" s="1">
        <v>3221</v>
      </c>
      <c r="K97" t="s" s="1">
        <v>296</v>
      </c>
      <c r="L97" t="s" s="1">
        <v>804</v>
      </c>
      <c r="M97" t="n" s="5">
        <v>7377.15</v>
      </c>
      <c r="N97" t="n" s="7">
        <v>44119.0</v>
      </c>
      <c r="O97" t="n" s="7">
        <v>44196.0</v>
      </c>
      <c r="P97" t="s" s="1">
        <v>3499</v>
      </c>
    </row>
    <row r="98" spans="1:16">
      <c r="A98" t="n" s="4">
        <v>93</v>
      </c>
      <c r="B98" s="2">
        <f>HYPERLINK("https://my.zakupki.prom.ua/remote/dispatcher/state_purchase_view/20118768", "UA-2020-10-15-005662-c")</f>
        <v/>
      </c>
      <c r="C98" t="s" s="2">
        <v>3245</v>
      </c>
      <c r="D98" s="2">
        <f>HYPERLINK("https://my.zakupki.prom.ua/remote/dispatcher/state_contracting_view/5888940", "UA-2020-10-15-005662-c-c1")</f>
        <v/>
      </c>
      <c r="E98" t="s" s="1">
        <v>2089</v>
      </c>
      <c r="F98" t="s" s="1">
        <v>3014</v>
      </c>
      <c r="G98" t="s" s="1">
        <v>3014</v>
      </c>
      <c r="H98" t="s" s="1">
        <v>857</v>
      </c>
      <c r="I98" t="s" s="1">
        <v>2361</v>
      </c>
      <c r="J98" t="s" s="1">
        <v>3388</v>
      </c>
      <c r="K98" t="s" s="1">
        <v>632</v>
      </c>
      <c r="L98" t="s" s="1">
        <v>1303</v>
      </c>
      <c r="M98" t="n" s="5">
        <v>960.0</v>
      </c>
      <c r="N98" t="n" s="7">
        <v>44119.0</v>
      </c>
      <c r="O98" t="n" s="7">
        <v>44196.0</v>
      </c>
      <c r="P98" t="s" s="1">
        <v>3499</v>
      </c>
    </row>
    <row r="99" spans="1:16">
      <c r="A99" t="n" s="4">
        <v>94</v>
      </c>
      <c r="B99" s="2">
        <f>HYPERLINK("https://my.zakupki.prom.ua/remote/dispatcher/state_purchase_view/20016087", "UA-2020-10-12-001761-b")</f>
        <v/>
      </c>
      <c r="C99" t="s" s="2">
        <v>3245</v>
      </c>
      <c r="D99" s="2">
        <f>HYPERLINK("https://my.zakupki.prom.ua/remote/dispatcher/state_contracting_view/5834791", "UA-2020-10-12-001761-b-b1")</f>
        <v/>
      </c>
      <c r="E99" t="s" s="1">
        <v>1782</v>
      </c>
      <c r="F99" t="s" s="1">
        <v>2504</v>
      </c>
      <c r="G99" t="s" s="1">
        <v>2504</v>
      </c>
      <c r="H99" t="s" s="1">
        <v>38</v>
      </c>
      <c r="I99" t="s" s="1">
        <v>2361</v>
      </c>
      <c r="J99" t="s" s="1">
        <v>3467</v>
      </c>
      <c r="K99" t="s" s="1">
        <v>766</v>
      </c>
      <c r="L99" t="s" s="1">
        <v>1498</v>
      </c>
      <c r="M99" t="n" s="5">
        <v>1720.8</v>
      </c>
      <c r="N99" t="n" s="7">
        <v>44113.0</v>
      </c>
      <c r="O99" t="n" s="7">
        <v>44196.0</v>
      </c>
      <c r="P99" t="s" s="1">
        <v>3499</v>
      </c>
    </row>
    <row r="100" spans="1:16">
      <c r="A100" t="n" s="4">
        <v>95</v>
      </c>
      <c r="B100" s="2">
        <f>HYPERLINK("https://my.zakupki.prom.ua/remote/dispatcher/state_purchase_view/20015075", "UA-2020-10-12-001457-b")</f>
        <v/>
      </c>
      <c r="C100" t="s" s="2">
        <v>3245</v>
      </c>
      <c r="D100" s="2">
        <f>HYPERLINK("https://my.zakupki.prom.ua/remote/dispatcher/state_contracting_view/5834404", "UA-2020-10-12-001457-b-b1")</f>
        <v/>
      </c>
      <c r="E100" t="s" s="1">
        <v>2092</v>
      </c>
      <c r="F100" t="s" s="1">
        <v>2526</v>
      </c>
      <c r="G100" t="s" s="1">
        <v>2526</v>
      </c>
      <c r="H100" t="s" s="1">
        <v>39</v>
      </c>
      <c r="I100" t="s" s="1">
        <v>2361</v>
      </c>
      <c r="J100" t="s" s="1">
        <v>3467</v>
      </c>
      <c r="K100" t="s" s="1">
        <v>766</v>
      </c>
      <c r="L100" t="s" s="1">
        <v>1494</v>
      </c>
      <c r="M100" t="n" s="5">
        <v>3010.5</v>
      </c>
      <c r="N100" t="n" s="7">
        <v>44113.0</v>
      </c>
      <c r="O100" t="n" s="7">
        <v>44196.0</v>
      </c>
      <c r="P100" t="s" s="1">
        <v>3499</v>
      </c>
    </row>
    <row r="101" spans="1:16">
      <c r="A101" t="n" s="4">
        <v>96</v>
      </c>
      <c r="B101" s="2">
        <f>HYPERLINK("https://my.zakupki.prom.ua/remote/dispatcher/state_purchase_view/19793845", "UA-2020-10-02-007883-a")</f>
        <v/>
      </c>
      <c r="C101" t="s" s="2">
        <v>3245</v>
      </c>
      <c r="D101" s="2">
        <f>HYPERLINK("https://my.zakupki.prom.ua/remote/dispatcher/state_contracting_view/5731356", "UA-2020-10-02-007883-a-a1")</f>
        <v/>
      </c>
      <c r="E101" t="s" s="1">
        <v>2088</v>
      </c>
      <c r="F101" t="s" s="1">
        <v>2556</v>
      </c>
      <c r="G101" t="s" s="1">
        <v>2556</v>
      </c>
      <c r="H101" t="s" s="1">
        <v>213</v>
      </c>
      <c r="I101" t="s" s="1">
        <v>2361</v>
      </c>
      <c r="J101" t="s" s="1">
        <v>3467</v>
      </c>
      <c r="K101" t="s" s="1">
        <v>766</v>
      </c>
      <c r="L101" t="s" s="1">
        <v>1422</v>
      </c>
      <c r="M101" t="n" s="5">
        <v>530.0</v>
      </c>
      <c r="N101" t="n" s="7">
        <v>44106.0</v>
      </c>
      <c r="O101" t="n" s="7">
        <v>44196.0</v>
      </c>
      <c r="P101" t="s" s="1">
        <v>3499</v>
      </c>
    </row>
    <row r="102" spans="1:16">
      <c r="A102" t="n" s="4">
        <v>97</v>
      </c>
      <c r="B102" s="2">
        <f>HYPERLINK("https://my.zakupki.prom.ua/remote/dispatcher/state_purchase_view/19884776", "UA-2020-10-07-000849-a")</f>
        <v/>
      </c>
      <c r="C102" t="s" s="2">
        <v>3245</v>
      </c>
      <c r="D102" s="2">
        <f>HYPERLINK("https://my.zakupki.prom.ua/remote/dispatcher/state_contracting_view/5773746", "UA-2020-10-07-000849-a-a1")</f>
        <v/>
      </c>
      <c r="E102" t="s" s="1">
        <v>1131</v>
      </c>
      <c r="F102" t="s" s="1">
        <v>2575</v>
      </c>
      <c r="G102" t="s" s="1">
        <v>2575</v>
      </c>
      <c r="H102" t="s" s="1">
        <v>219</v>
      </c>
      <c r="I102" t="s" s="1">
        <v>2361</v>
      </c>
      <c r="J102" t="s" s="1">
        <v>3467</v>
      </c>
      <c r="K102" t="s" s="1">
        <v>766</v>
      </c>
      <c r="L102" t="s" s="1">
        <v>1447</v>
      </c>
      <c r="M102" t="n" s="5">
        <v>10980.0</v>
      </c>
      <c r="N102" t="n" s="7">
        <v>44109.0</v>
      </c>
      <c r="O102" t="n" s="7">
        <v>44196.0</v>
      </c>
      <c r="P102" t="s" s="1">
        <v>3499</v>
      </c>
    </row>
    <row r="103" spans="1:16">
      <c r="A103" t="n" s="4">
        <v>98</v>
      </c>
      <c r="B103" s="2">
        <f>HYPERLINK("https://my.zakupki.prom.ua/remote/dispatcher/state_purchase_view/19884173", "UA-2020-10-07-000720-a")</f>
        <v/>
      </c>
      <c r="C103" t="s" s="2">
        <v>3245</v>
      </c>
      <c r="D103" s="2">
        <f>HYPERLINK("https://my.zakupki.prom.ua/remote/dispatcher/state_contracting_view/5773461", "UA-2020-10-07-000720-a-a1")</f>
        <v/>
      </c>
      <c r="E103" t="s" s="1">
        <v>314</v>
      </c>
      <c r="F103" t="s" s="1">
        <v>2520</v>
      </c>
      <c r="G103" t="s" s="1">
        <v>2520</v>
      </c>
      <c r="H103" t="s" s="1">
        <v>39</v>
      </c>
      <c r="I103" t="s" s="1">
        <v>2361</v>
      </c>
      <c r="J103" t="s" s="1">
        <v>3467</v>
      </c>
      <c r="K103" t="s" s="1">
        <v>766</v>
      </c>
      <c r="L103" t="s" s="1">
        <v>1446</v>
      </c>
      <c r="M103" t="n" s="5">
        <v>5604.7</v>
      </c>
      <c r="N103" t="n" s="7">
        <v>44109.0</v>
      </c>
      <c r="O103" t="n" s="7">
        <v>44196.0</v>
      </c>
      <c r="P103" t="s" s="1">
        <v>3499</v>
      </c>
    </row>
    <row r="104" spans="1:16">
      <c r="A104" t="n" s="4">
        <v>99</v>
      </c>
      <c r="B104" s="2">
        <f>HYPERLINK("https://my.zakupki.prom.ua/remote/dispatcher/state_purchase_view/19886037", "UA-2020-10-07-001167-a")</f>
        <v/>
      </c>
      <c r="C104" t="s" s="2">
        <v>3245</v>
      </c>
      <c r="D104" s="2">
        <f>HYPERLINK("https://my.zakupki.prom.ua/remote/dispatcher/state_contracting_view/5774503", "UA-2020-10-07-001167-a-a1")</f>
        <v/>
      </c>
      <c r="E104" t="s" s="1">
        <v>2176</v>
      </c>
      <c r="F104" t="s" s="1">
        <v>2550</v>
      </c>
      <c r="G104" t="s" s="1">
        <v>2546</v>
      </c>
      <c r="H104" t="s" s="1">
        <v>209</v>
      </c>
      <c r="I104" t="s" s="1">
        <v>2361</v>
      </c>
      <c r="J104" t="s" s="1">
        <v>3467</v>
      </c>
      <c r="K104" t="s" s="1">
        <v>766</v>
      </c>
      <c r="L104" t="s" s="1">
        <v>1479</v>
      </c>
      <c r="M104" t="n" s="5">
        <v>10325.0</v>
      </c>
      <c r="N104" t="n" s="7">
        <v>44109.0</v>
      </c>
      <c r="O104" t="n" s="7">
        <v>44196.0</v>
      </c>
      <c r="P104" t="s" s="1">
        <v>3499</v>
      </c>
    </row>
    <row r="105" spans="1:16">
      <c r="A105" t="n" s="4">
        <v>100</v>
      </c>
      <c r="B105" s="2">
        <f>HYPERLINK("https://my.zakupki.prom.ua/remote/dispatcher/state_purchase_view/20241985", "UA-2020-10-20-000451-c")</f>
        <v/>
      </c>
      <c r="C105" t="s" s="2">
        <v>3245</v>
      </c>
      <c r="D105" s="2">
        <f>HYPERLINK("https://my.zakupki.prom.ua/remote/dispatcher/state_contracting_view/5943388", "UA-2020-10-20-000451-c-c1")</f>
        <v/>
      </c>
      <c r="E105" t="s" s="1">
        <v>549</v>
      </c>
      <c r="F105" t="s" s="1">
        <v>2642</v>
      </c>
      <c r="G105" t="s" s="1">
        <v>2642</v>
      </c>
      <c r="H105" t="s" s="1">
        <v>402</v>
      </c>
      <c r="I105" t="s" s="1">
        <v>2361</v>
      </c>
      <c r="J105" t="s" s="1">
        <v>3255</v>
      </c>
      <c r="K105" t="s" s="1">
        <v>451</v>
      </c>
      <c r="L105" t="s" s="1">
        <v>1553</v>
      </c>
      <c r="M105" t="n" s="5">
        <v>340.0</v>
      </c>
      <c r="N105" t="n" s="7">
        <v>44123.0</v>
      </c>
      <c r="O105" t="n" s="7">
        <v>44196.0</v>
      </c>
      <c r="P105" t="s" s="1">
        <v>3499</v>
      </c>
    </row>
    <row r="106" spans="1:16">
      <c r="A106" t="n" s="4">
        <v>101</v>
      </c>
      <c r="B106" s="2">
        <f>HYPERLINK("https://my.zakupki.prom.ua/remote/dispatcher/state_purchase_view/18823365", "UA-2020-08-27-003431-a")</f>
        <v/>
      </c>
      <c r="C106" t="s" s="2">
        <v>3245</v>
      </c>
      <c r="D106" s="2">
        <f>HYPERLINK("https://my.zakupki.prom.ua/remote/dispatcher/state_contracting_view/5273029", "UA-2020-08-27-003431-a-a1")</f>
        <v/>
      </c>
      <c r="E106" t="s" s="1">
        <v>11</v>
      </c>
      <c r="F106" t="s" s="1">
        <v>3081</v>
      </c>
      <c r="G106" t="s" s="1">
        <v>3081</v>
      </c>
      <c r="H106" t="s" s="1">
        <v>1028</v>
      </c>
      <c r="I106" t="s" s="1">
        <v>2361</v>
      </c>
      <c r="J106" t="s" s="1">
        <v>2286</v>
      </c>
      <c r="K106" t="s" s="1">
        <v>54</v>
      </c>
      <c r="L106" t="s" s="1">
        <v>264</v>
      </c>
      <c r="M106" t="n" s="5">
        <v>42000.0</v>
      </c>
      <c r="N106" t="n" s="7">
        <v>44069.0</v>
      </c>
      <c r="O106" t="n" s="7">
        <v>44196.0</v>
      </c>
      <c r="P106" t="s" s="1">
        <v>3499</v>
      </c>
    </row>
    <row r="107" spans="1:16">
      <c r="A107" t="n" s="4">
        <v>102</v>
      </c>
      <c r="B107" s="2">
        <f>HYPERLINK("https://my.zakupki.prom.ua/remote/dispatcher/state_purchase_view/18631208", "UA-2020-08-18-006559-a")</f>
        <v/>
      </c>
      <c r="C107" t="s" s="2">
        <v>3245</v>
      </c>
      <c r="D107" s="2">
        <f>HYPERLINK("https://my.zakupki.prom.ua/remote/dispatcher/state_contracting_view/5429226", "UA-2020-08-18-006559-a-b1")</f>
        <v/>
      </c>
      <c r="E107" t="s" s="1">
        <v>1643</v>
      </c>
      <c r="F107" t="s" s="1">
        <v>2889</v>
      </c>
      <c r="G107" t="s" s="1">
        <v>3515</v>
      </c>
      <c r="H107" t="s" s="1">
        <v>718</v>
      </c>
      <c r="I107" t="s" s="1">
        <v>3353</v>
      </c>
      <c r="J107" t="s" s="1">
        <v>3370</v>
      </c>
      <c r="K107" t="s" s="1">
        <v>955</v>
      </c>
      <c r="L107" t="s" s="1">
        <v>1258</v>
      </c>
      <c r="M107" t="n" s="5">
        <v>88071.7</v>
      </c>
      <c r="N107" t="n" s="7">
        <v>44084.0</v>
      </c>
      <c r="O107" t="n" s="7">
        <v>44196.0</v>
      </c>
      <c r="P107" t="s" s="1">
        <v>3499</v>
      </c>
    </row>
    <row r="108" spans="1:16">
      <c r="A108" t="n" s="4">
        <v>103</v>
      </c>
      <c r="B108" s="2">
        <f>HYPERLINK("https://my.zakupki.prom.ua/remote/dispatcher/state_purchase_view/19032483", "UA-2020-09-04-011245-b")</f>
        <v/>
      </c>
      <c r="C108" t="s" s="2">
        <v>3245</v>
      </c>
      <c r="D108" s="2">
        <f>HYPERLINK("https://my.zakupki.prom.ua/remote/dispatcher/state_contracting_view/5447435", "UA-2020-09-04-011245-b-b1")</f>
        <v/>
      </c>
      <c r="E108" t="s" s="1">
        <v>1875</v>
      </c>
      <c r="F108" t="s" s="1">
        <v>3109</v>
      </c>
      <c r="G108" t="s" s="1">
        <v>3109</v>
      </c>
      <c r="H108" t="s" s="1">
        <v>1311</v>
      </c>
      <c r="I108" t="s" s="1">
        <v>3313</v>
      </c>
      <c r="J108" t="s" s="1">
        <v>2286</v>
      </c>
      <c r="K108" t="s" s="1">
        <v>54</v>
      </c>
      <c r="L108" t="s" s="1">
        <v>255</v>
      </c>
      <c r="M108" t="n" s="5">
        <v>196800.0</v>
      </c>
      <c r="N108" t="n" s="7">
        <v>44085.0</v>
      </c>
      <c r="O108" t="n" s="7">
        <v>44196.0</v>
      </c>
      <c r="P108" t="s" s="1">
        <v>3499</v>
      </c>
    </row>
    <row r="109" spans="1:16">
      <c r="A109" t="n" s="4">
        <v>104</v>
      </c>
      <c r="B109" s="2">
        <f>HYPERLINK("https://my.zakupki.prom.ua/remote/dispatcher/state_purchase_view/19115189", "UA-2020-09-09-001244-b")</f>
        <v/>
      </c>
      <c r="C109" t="s" s="2">
        <v>3245</v>
      </c>
      <c r="D109" s="2">
        <f>HYPERLINK("https://my.zakupki.prom.ua/remote/dispatcher/state_contracting_view/5411292", "UA-2020-09-09-001244-b-b1")</f>
        <v/>
      </c>
      <c r="E109" t="s" s="1">
        <v>1552</v>
      </c>
      <c r="F109" t="s" s="1">
        <v>2586</v>
      </c>
      <c r="G109" t="s" s="1">
        <v>2586</v>
      </c>
      <c r="H109" t="s" s="1">
        <v>219</v>
      </c>
      <c r="I109" t="s" s="1">
        <v>2361</v>
      </c>
      <c r="J109" t="s" s="1">
        <v>3467</v>
      </c>
      <c r="K109" t="s" s="1">
        <v>766</v>
      </c>
      <c r="L109" t="s" s="1">
        <v>1252</v>
      </c>
      <c r="M109" t="n" s="5">
        <v>9603.0</v>
      </c>
      <c r="N109" t="n" s="7">
        <v>44081.0</v>
      </c>
      <c r="O109" t="n" s="7">
        <v>44196.0</v>
      </c>
      <c r="P109" t="s" s="1">
        <v>3499</v>
      </c>
    </row>
    <row r="110" spans="1:16">
      <c r="A110" t="n" s="4">
        <v>105</v>
      </c>
      <c r="B110" s="2">
        <f>HYPERLINK("https://my.zakupki.prom.ua/remote/dispatcher/state_purchase_view/16859760", "UA-2020-05-26-001950-b")</f>
        <v/>
      </c>
      <c r="C110" t="s" s="2">
        <v>3245</v>
      </c>
      <c r="D110" s="2">
        <f>HYPERLINK("https://my.zakupki.prom.ua/remote/dispatcher/state_contracting_view/4367312", "UA-2020-05-26-001950-b-b1")</f>
        <v/>
      </c>
      <c r="E110" t="s" s="1">
        <v>91</v>
      </c>
      <c r="F110" t="s" s="1">
        <v>2453</v>
      </c>
      <c r="G110" t="s" s="1">
        <v>2453</v>
      </c>
      <c r="H110" t="s" s="1">
        <v>718</v>
      </c>
      <c r="I110" t="s" s="1">
        <v>2361</v>
      </c>
      <c r="J110" t="s" s="1">
        <v>3392</v>
      </c>
      <c r="K110" t="s" s="1">
        <v>428</v>
      </c>
      <c r="L110" t="s" s="1">
        <v>218</v>
      </c>
      <c r="M110" t="n" s="5">
        <v>473.94</v>
      </c>
      <c r="N110" t="n" s="7">
        <v>43973.0</v>
      </c>
      <c r="O110" t="n" s="7">
        <v>44196.0</v>
      </c>
      <c r="P110" t="s" s="1">
        <v>3499</v>
      </c>
    </row>
    <row r="111" spans="1:16">
      <c r="A111" t="n" s="4">
        <v>106</v>
      </c>
      <c r="B111" s="2">
        <f>HYPERLINK("https://my.zakupki.prom.ua/remote/dispatcher/state_purchase_view/17223021", "UA-2020-06-12-010278-c")</f>
        <v/>
      </c>
      <c r="C111" t="s" s="2">
        <v>3245</v>
      </c>
      <c r="D111" s="2">
        <f>HYPERLINK("https://my.zakupki.prom.ua/remote/dispatcher/state_contracting_view/4525229", "UA-2020-06-12-010278-c-c1")</f>
        <v/>
      </c>
      <c r="E111" t="s" s="1">
        <v>2182</v>
      </c>
      <c r="F111" t="s" s="1">
        <v>2470</v>
      </c>
      <c r="G111" t="s" s="1">
        <v>2470</v>
      </c>
      <c r="H111" t="s" s="1">
        <v>718</v>
      </c>
      <c r="I111" t="s" s="1">
        <v>2361</v>
      </c>
      <c r="J111" t="s" s="1">
        <v>3392</v>
      </c>
      <c r="K111" t="s" s="1">
        <v>428</v>
      </c>
      <c r="L111" t="s" s="1">
        <v>289</v>
      </c>
      <c r="M111" t="n" s="5">
        <v>129.2</v>
      </c>
      <c r="N111" t="n" s="7">
        <v>43993.0</v>
      </c>
      <c r="O111" t="n" s="7">
        <v>44196.0</v>
      </c>
      <c r="P111" t="s" s="1">
        <v>3499</v>
      </c>
    </row>
    <row r="112" spans="1:16">
      <c r="A112" t="n" s="4">
        <v>107</v>
      </c>
      <c r="B112" s="2">
        <f>HYPERLINK("https://my.zakupki.prom.ua/remote/dispatcher/state_purchase_view/17221059", "UA-2020-06-12-009653-c")</f>
        <v/>
      </c>
      <c r="C112" t="s" s="2">
        <v>3245</v>
      </c>
      <c r="D112" s="2">
        <f>HYPERLINK("https://my.zakupki.prom.ua/remote/dispatcher/state_contracting_view/4524284", "UA-2020-06-12-009653-c-c1")</f>
        <v/>
      </c>
      <c r="E112" t="s" s="1">
        <v>1901</v>
      </c>
      <c r="F112" t="s" s="1">
        <v>2458</v>
      </c>
      <c r="G112" t="s" s="1">
        <v>2458</v>
      </c>
      <c r="H112" t="s" s="1">
        <v>718</v>
      </c>
      <c r="I112" t="s" s="1">
        <v>2361</v>
      </c>
      <c r="J112" t="s" s="1">
        <v>3392</v>
      </c>
      <c r="K112" t="s" s="1">
        <v>428</v>
      </c>
      <c r="L112" t="s" s="1">
        <v>279</v>
      </c>
      <c r="M112" t="n" s="5">
        <v>4031.07</v>
      </c>
      <c r="N112" t="n" s="7">
        <v>43993.0</v>
      </c>
      <c r="O112" t="n" s="7">
        <v>44196.0</v>
      </c>
      <c r="P112" t="s" s="1">
        <v>3499</v>
      </c>
    </row>
    <row r="113" spans="1:16">
      <c r="A113" t="n" s="4">
        <v>108</v>
      </c>
      <c r="B113" s="2">
        <f>HYPERLINK("https://my.zakupki.prom.ua/remote/dispatcher/state_purchase_view/17292825", "UA-2020-06-17-001041-c")</f>
        <v/>
      </c>
      <c r="C113" t="s" s="2">
        <v>3245</v>
      </c>
      <c r="D113" s="2">
        <f>HYPERLINK("https://my.zakupki.prom.ua/remote/dispatcher/state_contracting_view/4556866", "UA-2020-06-17-001041-c-c1")</f>
        <v/>
      </c>
      <c r="E113" t="s" s="1">
        <v>1095</v>
      </c>
      <c r="F113" t="s" s="1">
        <v>2395</v>
      </c>
      <c r="G113" t="s" s="1">
        <v>2395</v>
      </c>
      <c r="H113" t="s" s="1">
        <v>1140</v>
      </c>
      <c r="I113" t="s" s="1">
        <v>2361</v>
      </c>
      <c r="J113" t="s" s="1">
        <v>3416</v>
      </c>
      <c r="K113" t="s" s="1">
        <v>396</v>
      </c>
      <c r="L113" t="s" s="1">
        <v>341</v>
      </c>
      <c r="M113" t="n" s="5">
        <v>2964.0</v>
      </c>
      <c r="N113" t="n" s="7">
        <v>43997.0</v>
      </c>
      <c r="O113" t="n" s="7">
        <v>44196.0</v>
      </c>
      <c r="P113" t="s" s="1">
        <v>3499</v>
      </c>
    </row>
    <row r="114" spans="1:16">
      <c r="A114" t="n" s="4">
        <v>109</v>
      </c>
      <c r="B114" s="2">
        <f>HYPERLINK("https://my.zakupki.prom.ua/remote/dispatcher/state_purchase_view/17284097", "UA-2020-06-16-007857-c")</f>
        <v/>
      </c>
      <c r="C114" t="s" s="2">
        <v>3245</v>
      </c>
      <c r="D114" s="2">
        <f>HYPERLINK("https://my.zakupki.prom.ua/remote/dispatcher/state_contracting_view/4552973", "UA-2020-06-16-007857-c-c1")</f>
        <v/>
      </c>
      <c r="E114" t="s" s="1">
        <v>1791</v>
      </c>
      <c r="F114" t="s" s="1">
        <v>2403</v>
      </c>
      <c r="G114" t="s" s="1">
        <v>2403</v>
      </c>
      <c r="H114" t="s" s="1">
        <v>603</v>
      </c>
      <c r="I114" t="s" s="1">
        <v>2361</v>
      </c>
      <c r="J114" t="s" s="1">
        <v>3384</v>
      </c>
      <c r="K114" t="s" s="1">
        <v>930</v>
      </c>
      <c r="L114" t="s" s="1">
        <v>298</v>
      </c>
      <c r="M114" t="n" s="5">
        <v>8900.0</v>
      </c>
      <c r="N114" t="n" s="7">
        <v>43998.0</v>
      </c>
      <c r="O114" t="n" s="7">
        <v>44196.0</v>
      </c>
      <c r="P114" t="s" s="1">
        <v>3499</v>
      </c>
    </row>
    <row r="115" spans="1:16">
      <c r="A115" t="n" s="4">
        <v>110</v>
      </c>
      <c r="B115" s="2">
        <f>HYPERLINK("https://my.zakupki.prom.ua/remote/dispatcher/state_purchase_view/16917213", "UA-2020-05-28-003677-b")</f>
        <v/>
      </c>
      <c r="C115" t="s" s="2">
        <v>3245</v>
      </c>
      <c r="D115" s="2">
        <f>HYPERLINK("https://my.zakupki.prom.ua/remote/dispatcher/state_contracting_view/4386178", "UA-2020-05-28-003677-b-b1")</f>
        <v/>
      </c>
      <c r="E115" t="s" s="1">
        <v>2034</v>
      </c>
      <c r="F115" t="s" s="1">
        <v>2488</v>
      </c>
      <c r="G115" t="s" s="1">
        <v>2488</v>
      </c>
      <c r="H115" t="s" s="1">
        <v>1511</v>
      </c>
      <c r="I115" t="s" s="1">
        <v>2361</v>
      </c>
      <c r="J115" t="s" s="1">
        <v>2374</v>
      </c>
      <c r="K115" t="s" s="1">
        <v>380</v>
      </c>
      <c r="L115" t="s" s="1">
        <v>339</v>
      </c>
      <c r="M115" t="n" s="5">
        <v>5100.0</v>
      </c>
      <c r="N115" t="n" s="7">
        <v>43979.0</v>
      </c>
      <c r="O115" t="n" s="7">
        <v>44196.0</v>
      </c>
      <c r="P115" t="s" s="1">
        <v>3499</v>
      </c>
    </row>
    <row r="116" spans="1:16">
      <c r="A116" t="n" s="4">
        <v>111</v>
      </c>
      <c r="B116" s="2">
        <f>HYPERLINK("https://my.zakupki.prom.ua/remote/dispatcher/state_purchase_view/18443954", "UA-2020-08-11-000939-a")</f>
        <v/>
      </c>
      <c r="C116" t="s" s="2">
        <v>3245</v>
      </c>
      <c r="D116" s="2">
        <f>HYPERLINK("https://my.zakupki.prom.ua/remote/dispatcher/state_contracting_view/5092561", "UA-2020-08-11-000939-a-a1")</f>
        <v/>
      </c>
      <c r="E116" t="s" s="1">
        <v>1807</v>
      </c>
      <c r="F116" t="s" s="1">
        <v>3062</v>
      </c>
      <c r="G116" t="s" s="1">
        <v>3062</v>
      </c>
      <c r="H116" t="s" s="1">
        <v>1016</v>
      </c>
      <c r="I116" t="s" s="1">
        <v>2361</v>
      </c>
      <c r="J116" t="s" s="1">
        <v>3251</v>
      </c>
      <c r="K116" t="s" s="1">
        <v>486</v>
      </c>
      <c r="L116" t="s" s="1">
        <v>1037</v>
      </c>
      <c r="M116" t="n" s="5">
        <v>166.1</v>
      </c>
      <c r="N116" t="n" s="7">
        <v>44053.0</v>
      </c>
      <c r="O116" t="n" s="7">
        <v>44196.0</v>
      </c>
      <c r="P116" t="s" s="1">
        <v>3499</v>
      </c>
    </row>
    <row r="117" spans="1:16">
      <c r="A117" t="n" s="4">
        <v>112</v>
      </c>
      <c r="B117" s="2">
        <f>HYPERLINK("https://my.zakupki.prom.ua/remote/dispatcher/state_purchase_view/18543525", "UA-2020-08-14-000132-a")</f>
        <v/>
      </c>
      <c r="C117" t="s" s="2">
        <v>3245</v>
      </c>
      <c r="D117" s="2">
        <f>HYPERLINK("https://my.zakupki.prom.ua/remote/dispatcher/state_contracting_view/5139101", "UA-2020-08-14-000132-a-a1")</f>
        <v/>
      </c>
      <c r="E117" t="s" s="1">
        <v>1190</v>
      </c>
      <c r="F117" t="s" s="1">
        <v>3016</v>
      </c>
      <c r="G117" t="s" s="1">
        <v>3016</v>
      </c>
      <c r="H117" t="s" s="1">
        <v>857</v>
      </c>
      <c r="I117" t="s" s="1">
        <v>2361</v>
      </c>
      <c r="J117" t="s" s="1">
        <v>3253</v>
      </c>
      <c r="K117" t="s" s="1">
        <v>403</v>
      </c>
      <c r="L117" t="s" s="1">
        <v>1078</v>
      </c>
      <c r="M117" t="n" s="5">
        <v>27664.0</v>
      </c>
      <c r="N117" t="n" s="7">
        <v>44057.0</v>
      </c>
      <c r="O117" t="n" s="7">
        <v>44196.0</v>
      </c>
      <c r="P117" t="s" s="1">
        <v>3499</v>
      </c>
    </row>
    <row r="118" spans="1:16">
      <c r="A118" t="n" s="4">
        <v>113</v>
      </c>
      <c r="B118" s="2">
        <f>HYPERLINK("https://my.zakupki.prom.ua/remote/dispatcher/state_purchase_view/18473454", "UA-2020-08-12-000089-a")</f>
        <v/>
      </c>
      <c r="C118" t="s" s="2">
        <v>3245</v>
      </c>
      <c r="D118" s="2">
        <f>HYPERLINK("https://my.zakupki.prom.ua/remote/dispatcher/state_contracting_view/5106252", "UA-2020-08-12-000089-a-a1")</f>
        <v/>
      </c>
      <c r="E118" t="s" s="1">
        <v>897</v>
      </c>
      <c r="F118" t="s" s="1">
        <v>2897</v>
      </c>
      <c r="G118" t="s" s="1">
        <v>2897</v>
      </c>
      <c r="H118" t="s" s="1">
        <v>718</v>
      </c>
      <c r="I118" t="s" s="1">
        <v>2361</v>
      </c>
      <c r="J118" t="s" s="1">
        <v>3392</v>
      </c>
      <c r="K118" t="s" s="1">
        <v>428</v>
      </c>
      <c r="L118" t="s" s="1">
        <v>1048</v>
      </c>
      <c r="M118" t="n" s="5">
        <v>1213.56</v>
      </c>
      <c r="N118" t="n" s="7">
        <v>44055.0</v>
      </c>
      <c r="O118" t="n" s="7">
        <v>44196.0</v>
      </c>
      <c r="P118" t="s" s="1">
        <v>3499</v>
      </c>
    </row>
    <row r="119" spans="1:16">
      <c r="A119" t="n" s="4">
        <v>114</v>
      </c>
      <c r="B119" s="2">
        <f>HYPERLINK("https://my.zakupki.prom.ua/remote/dispatcher/state_purchase_view/18481974", "UA-2020-08-12-002332-a")</f>
        <v/>
      </c>
      <c r="C119" t="s" s="2">
        <v>3245</v>
      </c>
      <c r="D119" s="2">
        <f>HYPERLINK("https://my.zakupki.prom.ua/remote/dispatcher/state_contracting_view/5110516", "UA-2020-08-12-002332-a-a1")</f>
        <v/>
      </c>
      <c r="E119" t="s" s="1">
        <v>1660</v>
      </c>
      <c r="F119" t="s" s="1">
        <v>2589</v>
      </c>
      <c r="G119" t="s" s="1">
        <v>2589</v>
      </c>
      <c r="H119" t="s" s="1">
        <v>219</v>
      </c>
      <c r="I119" t="s" s="1">
        <v>2361</v>
      </c>
      <c r="J119" t="s" s="1">
        <v>3467</v>
      </c>
      <c r="K119" t="s" s="1">
        <v>766</v>
      </c>
      <c r="L119" t="s" s="1">
        <v>1067</v>
      </c>
      <c r="M119" t="n" s="5">
        <v>11068.0</v>
      </c>
      <c r="N119" t="n" s="7">
        <v>44053.0</v>
      </c>
      <c r="O119" t="n" s="7">
        <v>44196.0</v>
      </c>
      <c r="P119" t="s" s="1">
        <v>3499</v>
      </c>
    </row>
    <row r="120" spans="1:16">
      <c r="A120" t="n" s="4">
        <v>115</v>
      </c>
      <c r="B120" s="2">
        <f>HYPERLINK("https://my.zakupki.prom.ua/remote/dispatcher/state_purchase_view/18478663", "UA-2020-08-12-001413-a")</f>
        <v/>
      </c>
      <c r="C120" t="s" s="2">
        <v>3245</v>
      </c>
      <c r="D120" s="2">
        <f>HYPERLINK("https://my.zakupki.prom.ua/remote/dispatcher/state_contracting_view/5113435", "UA-2020-08-12-001413-a-a1")</f>
        <v/>
      </c>
      <c r="E120" t="s" s="1">
        <v>1914</v>
      </c>
      <c r="F120" t="s" s="1">
        <v>2556</v>
      </c>
      <c r="G120" t="s" s="1">
        <v>2556</v>
      </c>
      <c r="H120" t="s" s="1">
        <v>213</v>
      </c>
      <c r="I120" t="s" s="1">
        <v>2361</v>
      </c>
      <c r="J120" t="s" s="1">
        <v>3467</v>
      </c>
      <c r="K120" t="s" s="1">
        <v>766</v>
      </c>
      <c r="L120" t="s" s="1">
        <v>1062</v>
      </c>
      <c r="M120" t="n" s="5">
        <v>522.0</v>
      </c>
      <c r="N120" t="n" s="7">
        <v>44053.0</v>
      </c>
      <c r="O120" t="n" s="7">
        <v>44196.0</v>
      </c>
      <c r="P120" t="s" s="1">
        <v>3499</v>
      </c>
    </row>
    <row r="121" spans="1:16">
      <c r="A121" t="n" s="4">
        <v>116</v>
      </c>
      <c r="B121" s="2">
        <f>HYPERLINK("https://my.zakupki.prom.ua/remote/dispatcher/state_purchase_view/18611950", "UA-2020-08-18-001254-a")</f>
        <v/>
      </c>
      <c r="C121" t="s" s="2">
        <v>3245</v>
      </c>
      <c r="D121" s="2">
        <f>HYPERLINK("https://my.zakupki.prom.ua/remote/dispatcher/state_contracting_view/5235550", "UA-2020-08-18-001254-a-a1")</f>
        <v/>
      </c>
      <c r="E121" t="s" s="1">
        <v>2024</v>
      </c>
      <c r="F121" t="s" s="1">
        <v>2915</v>
      </c>
      <c r="G121" t="s" s="1">
        <v>3551</v>
      </c>
      <c r="H121" t="s" s="1">
        <v>718</v>
      </c>
      <c r="I121" t="s" s="1">
        <v>3313</v>
      </c>
      <c r="J121" t="s" s="1">
        <v>3392</v>
      </c>
      <c r="K121" t="s" s="1">
        <v>428</v>
      </c>
      <c r="L121" t="s" s="1">
        <v>1166</v>
      </c>
      <c r="M121" t="n" s="5">
        <v>128710.29</v>
      </c>
      <c r="N121" t="n" s="7">
        <v>44068.0</v>
      </c>
      <c r="O121" t="n" s="7">
        <v>44196.0</v>
      </c>
      <c r="P121" t="s" s="1">
        <v>3499</v>
      </c>
    </row>
    <row r="122" spans="1:16">
      <c r="A122" t="n" s="4">
        <v>117</v>
      </c>
      <c r="B122" s="2">
        <f>HYPERLINK("https://my.zakupki.prom.ua/remote/dispatcher/state_purchase_view/18788209", "UA-2020-08-26-003130-a")</f>
        <v/>
      </c>
      <c r="C122" t="s" s="2">
        <v>3245</v>
      </c>
      <c r="D122" s="2">
        <f>HYPERLINK("https://my.zakupki.prom.ua/remote/dispatcher/state_contracting_view/5255871", "UA-2020-08-26-003130-a-a1")</f>
        <v/>
      </c>
      <c r="E122" t="s" s="1">
        <v>681</v>
      </c>
      <c r="F122" t="s" s="1">
        <v>2589</v>
      </c>
      <c r="G122" t="s" s="1">
        <v>2589</v>
      </c>
      <c r="H122" t="s" s="1">
        <v>219</v>
      </c>
      <c r="I122" t="s" s="1">
        <v>2361</v>
      </c>
      <c r="J122" t="s" s="1">
        <v>3467</v>
      </c>
      <c r="K122" t="s" s="1">
        <v>766</v>
      </c>
      <c r="L122" t="s" s="1">
        <v>1176</v>
      </c>
      <c r="M122" t="n" s="5">
        <v>10699.0</v>
      </c>
      <c r="N122" t="n" s="7">
        <v>44068.0</v>
      </c>
      <c r="O122" t="n" s="7">
        <v>44196.0</v>
      </c>
      <c r="P122" t="s" s="1">
        <v>3499</v>
      </c>
    </row>
    <row r="123" spans="1:16">
      <c r="A123" t="n" s="4">
        <v>118</v>
      </c>
      <c r="B123" s="2">
        <f>HYPERLINK("https://my.zakupki.prom.ua/remote/dispatcher/state_purchase_view/18795339", "UA-2020-08-26-005077-a")</f>
        <v/>
      </c>
      <c r="C123" t="s" s="2">
        <v>3245</v>
      </c>
      <c r="D123" s="2">
        <f>HYPERLINK("https://my.zakupki.prom.ua/remote/dispatcher/state_contracting_view/5259662", "UA-2020-08-26-005077-a-a1")</f>
        <v/>
      </c>
      <c r="E123" t="s" s="1">
        <v>1808</v>
      </c>
      <c r="F123" t="s" s="1">
        <v>2818</v>
      </c>
      <c r="G123" t="s" s="1">
        <v>2818</v>
      </c>
      <c r="H123" t="s" s="1">
        <v>695</v>
      </c>
      <c r="I123" t="s" s="1">
        <v>2361</v>
      </c>
      <c r="J123" t="s" s="1">
        <v>3249</v>
      </c>
      <c r="K123" t="s" s="1">
        <v>419</v>
      </c>
      <c r="L123" t="s" s="1">
        <v>1187</v>
      </c>
      <c r="M123" t="n" s="5">
        <v>18420.0</v>
      </c>
      <c r="N123" t="n" s="7">
        <v>44069.0</v>
      </c>
      <c r="O123" t="n" s="7">
        <v>44196.0</v>
      </c>
      <c r="P123" t="s" s="1">
        <v>3499</v>
      </c>
    </row>
    <row r="124" spans="1:16">
      <c r="A124" t="n" s="4">
        <v>119</v>
      </c>
      <c r="B124" s="2">
        <f>HYPERLINK("https://my.zakupki.prom.ua/remote/dispatcher/state_purchase_view/17885206", "UA-2020-07-15-002383-c")</f>
        <v/>
      </c>
      <c r="C124" t="s" s="2">
        <v>3245</v>
      </c>
      <c r="D124" s="2">
        <f>HYPERLINK("https://my.zakupki.prom.ua/remote/dispatcher/state_contracting_view/4832002", "UA-2020-07-15-002383-c-c1")</f>
        <v/>
      </c>
      <c r="E124" t="s" s="1">
        <v>1903</v>
      </c>
      <c r="F124" t="s" s="1">
        <v>2539</v>
      </c>
      <c r="G124" t="s" s="1">
        <v>2539</v>
      </c>
      <c r="H124" t="s" s="1">
        <v>207</v>
      </c>
      <c r="I124" t="s" s="1">
        <v>2361</v>
      </c>
      <c r="J124" t="s" s="1">
        <v>3467</v>
      </c>
      <c r="K124" t="s" s="1">
        <v>766</v>
      </c>
      <c r="L124" t="s" s="1">
        <v>661</v>
      </c>
      <c r="M124" t="n" s="5">
        <v>10278.25</v>
      </c>
      <c r="N124" t="n" s="7">
        <v>44026.0</v>
      </c>
      <c r="O124" t="n" s="7">
        <v>44196.0</v>
      </c>
      <c r="P124" t="s" s="1">
        <v>3499</v>
      </c>
    </row>
    <row r="125" spans="1:16">
      <c r="A125" t="n" s="4">
        <v>120</v>
      </c>
      <c r="B125" s="2">
        <f>HYPERLINK("https://my.zakupki.prom.ua/remote/dispatcher/state_purchase_view/18046479", "UA-2020-07-22-005552-b")</f>
        <v/>
      </c>
      <c r="C125" t="s" s="2">
        <v>3245</v>
      </c>
      <c r="D125" s="2">
        <f>HYPERLINK("https://my.zakupki.prom.ua/remote/dispatcher/state_contracting_view/4907381", "UA-2020-07-22-005552-b-b1")</f>
        <v/>
      </c>
      <c r="E125" t="s" s="1">
        <v>2252</v>
      </c>
      <c r="F125" t="s" s="1">
        <v>2963</v>
      </c>
      <c r="G125" t="s" s="1">
        <v>2963</v>
      </c>
      <c r="H125" t="s" s="1">
        <v>738</v>
      </c>
      <c r="I125" t="s" s="1">
        <v>2361</v>
      </c>
      <c r="J125" t="s" s="1">
        <v>3305</v>
      </c>
      <c r="K125" t="s" s="1">
        <v>530</v>
      </c>
      <c r="L125" t="s" s="1">
        <v>790</v>
      </c>
      <c r="M125" t="n" s="5">
        <v>2969.75</v>
      </c>
      <c r="N125" t="n" s="7">
        <v>44033.0</v>
      </c>
      <c r="O125" t="n" s="7">
        <v>44196.0</v>
      </c>
      <c r="P125" t="s" s="1">
        <v>3499</v>
      </c>
    </row>
    <row r="126" spans="1:16">
      <c r="A126" t="n" s="4">
        <v>121</v>
      </c>
      <c r="B126" s="2">
        <f>HYPERLINK("https://my.zakupki.prom.ua/remote/dispatcher/state_purchase_view/18338462", "UA-2020-08-05-007100-a")</f>
        <v/>
      </c>
      <c r="C126" t="s" s="2">
        <v>3245</v>
      </c>
      <c r="D126" s="2">
        <f>HYPERLINK("https://my.zakupki.prom.ua/remote/dispatcher/state_contracting_view/5042758", "UA-2020-08-05-007100-a-a1")</f>
        <v/>
      </c>
      <c r="E126" t="s" s="1">
        <v>2169</v>
      </c>
      <c r="F126" t="s" s="1">
        <v>2504</v>
      </c>
      <c r="G126" t="s" s="1">
        <v>2504</v>
      </c>
      <c r="H126" t="s" s="1">
        <v>38</v>
      </c>
      <c r="I126" t="s" s="1">
        <v>2361</v>
      </c>
      <c r="J126" t="s" s="1">
        <v>3467</v>
      </c>
      <c r="K126" t="s" s="1">
        <v>766</v>
      </c>
      <c r="L126" t="s" s="1">
        <v>968</v>
      </c>
      <c r="M126" t="n" s="5">
        <v>630.0</v>
      </c>
      <c r="N126" t="n" s="7">
        <v>44047.0</v>
      </c>
      <c r="O126" t="n" s="7">
        <v>44196.0</v>
      </c>
      <c r="P126" t="s" s="1">
        <v>3499</v>
      </c>
    </row>
    <row r="127" spans="1:16">
      <c r="A127" t="n" s="4">
        <v>122</v>
      </c>
      <c r="B127" s="2">
        <f>HYPERLINK("https://my.zakupki.prom.ua/remote/dispatcher/state_purchase_view/18339378", "UA-2020-08-05-007394-a")</f>
        <v/>
      </c>
      <c r="C127" t="s" s="2">
        <v>3245</v>
      </c>
      <c r="D127" s="2">
        <f>HYPERLINK("https://my.zakupki.prom.ua/remote/dispatcher/state_contracting_view/5043517", "UA-2020-08-05-007394-a-a1")</f>
        <v/>
      </c>
      <c r="E127" t="s" s="1">
        <v>902</v>
      </c>
      <c r="F127" t="s" s="1">
        <v>2510</v>
      </c>
      <c r="G127" t="s" s="1">
        <v>2510</v>
      </c>
      <c r="H127" t="s" s="1">
        <v>39</v>
      </c>
      <c r="I127" t="s" s="1">
        <v>2361</v>
      </c>
      <c r="J127" t="s" s="1">
        <v>3467</v>
      </c>
      <c r="K127" t="s" s="1">
        <v>766</v>
      </c>
      <c r="L127" t="s" s="1">
        <v>974</v>
      </c>
      <c r="M127" t="n" s="5">
        <v>1725.0</v>
      </c>
      <c r="N127" t="n" s="7">
        <v>44047.0</v>
      </c>
      <c r="O127" t="n" s="7">
        <v>44196.0</v>
      </c>
      <c r="P127" t="s" s="1">
        <v>3499</v>
      </c>
    </row>
    <row r="128" spans="1:16">
      <c r="A128" t="n" s="4">
        <v>123</v>
      </c>
      <c r="B128" s="2">
        <f>HYPERLINK("https://my.zakupki.prom.ua/remote/dispatcher/state_purchase_view/20464205", "UA-2020-10-26-004169-a")</f>
        <v/>
      </c>
      <c r="C128" t="s" s="2">
        <v>3245</v>
      </c>
      <c r="D128" s="2">
        <f>HYPERLINK("https://my.zakupki.prom.ua/remote/dispatcher/state_contracting_view/6051569", "UA-2020-10-26-004169-a-a1")</f>
        <v/>
      </c>
      <c r="E128" t="s" s="1">
        <v>2099</v>
      </c>
      <c r="F128" t="s" s="1">
        <v>3157</v>
      </c>
      <c r="G128" t="s" s="1">
        <v>3157</v>
      </c>
      <c r="H128" t="s" s="1">
        <v>648</v>
      </c>
      <c r="I128" t="s" s="1">
        <v>2361</v>
      </c>
      <c r="J128" t="s" s="1">
        <v>2360</v>
      </c>
      <c r="K128" t="s" s="1">
        <v>508</v>
      </c>
      <c r="L128" t="s" s="1">
        <v>1578</v>
      </c>
      <c r="M128" t="n" s="5">
        <v>2544.0</v>
      </c>
      <c r="N128" t="n" s="7">
        <v>44130.0</v>
      </c>
      <c r="O128" t="n" s="7">
        <v>44196.0</v>
      </c>
      <c r="P128" t="s" s="1">
        <v>3499</v>
      </c>
    </row>
    <row r="129" spans="1:16">
      <c r="A129" t="n" s="4">
        <v>124</v>
      </c>
      <c r="B129" s="2">
        <f>HYPERLINK("https://my.zakupki.prom.ua/remote/dispatcher/state_purchase_view/20623632", "UA-2020-10-30-003751-c")</f>
        <v/>
      </c>
      <c r="C129" t="s" s="2">
        <v>3245</v>
      </c>
      <c r="D129" s="2">
        <f>HYPERLINK("https://my.zakupki.prom.ua/remote/dispatcher/state_contracting_view/6129577", "UA-2020-10-30-003751-c-c1")</f>
        <v/>
      </c>
      <c r="E129" t="s" s="1">
        <v>613</v>
      </c>
      <c r="F129" t="s" s="1">
        <v>3127</v>
      </c>
      <c r="G129" t="s" s="1">
        <v>3127</v>
      </c>
      <c r="H129" t="s" s="1">
        <v>1496</v>
      </c>
      <c r="I129" t="s" s="1">
        <v>2361</v>
      </c>
      <c r="J129" t="s" s="1">
        <v>2294</v>
      </c>
      <c r="K129" t="s" s="1">
        <v>288</v>
      </c>
      <c r="L129" t="s" s="1">
        <v>19</v>
      </c>
      <c r="M129" t="n" s="5">
        <v>3092.0</v>
      </c>
      <c r="N129" t="n" s="7">
        <v>44133.0</v>
      </c>
      <c r="O129" t="n" s="7">
        <v>44196.0</v>
      </c>
      <c r="P129" t="s" s="1">
        <v>3499</v>
      </c>
    </row>
    <row r="130" spans="1:16">
      <c r="A130" t="n" s="4">
        <v>125</v>
      </c>
      <c r="B130" s="2">
        <f>HYPERLINK("https://my.zakupki.prom.ua/remote/dispatcher/state_purchase_view/20585404", "UA-2020-10-29-003448-c")</f>
        <v/>
      </c>
      <c r="C130" t="s" s="2">
        <v>3245</v>
      </c>
      <c r="D130" s="2">
        <f>HYPERLINK("https://my.zakupki.prom.ua/remote/dispatcher/state_contracting_view/6111576", "UA-2020-10-29-003448-c-c1")</f>
        <v/>
      </c>
      <c r="E130" t="s" s="1">
        <v>1580</v>
      </c>
      <c r="F130" t="s" s="1">
        <v>2529</v>
      </c>
      <c r="G130" t="s" s="1">
        <v>2529</v>
      </c>
      <c r="H130" t="s" s="1">
        <v>75</v>
      </c>
      <c r="I130" t="s" s="1">
        <v>2361</v>
      </c>
      <c r="J130" t="s" s="1">
        <v>3251</v>
      </c>
      <c r="K130" t="s" s="1">
        <v>486</v>
      </c>
      <c r="L130" t="s" s="1">
        <v>3263</v>
      </c>
      <c r="M130" t="n" s="5">
        <v>276.0</v>
      </c>
      <c r="N130" t="n" s="7">
        <v>44133.0</v>
      </c>
      <c r="O130" t="n" s="7">
        <v>44196.0</v>
      </c>
      <c r="P130" t="s" s="1">
        <v>3499</v>
      </c>
    </row>
    <row r="131" spans="1:16">
      <c r="A131" t="n" s="4">
        <v>126</v>
      </c>
      <c r="B131" s="2">
        <f>HYPERLINK("https://my.zakupki.prom.ua/remote/dispatcher/state_purchase_view/20599481", "UA-2020-10-29-007174-c")</f>
        <v/>
      </c>
      <c r="C131" t="s" s="2">
        <v>3245</v>
      </c>
      <c r="D131" s="2">
        <f>HYPERLINK("https://my.zakupki.prom.ua/remote/dispatcher/state_contracting_view/6118030", "UA-2020-10-29-007174-c-c1")</f>
        <v/>
      </c>
      <c r="E131" t="s" s="1">
        <v>1089</v>
      </c>
      <c r="F131" t="s" s="1">
        <v>2635</v>
      </c>
      <c r="G131" t="s" s="1">
        <v>2635</v>
      </c>
      <c r="H131" t="s" s="1">
        <v>281</v>
      </c>
      <c r="I131" t="s" s="1">
        <v>2361</v>
      </c>
      <c r="J131" t="s" s="1">
        <v>3251</v>
      </c>
      <c r="K131" t="s" s="1">
        <v>486</v>
      </c>
      <c r="L131" t="s" s="1">
        <v>3271</v>
      </c>
      <c r="M131" t="n" s="5">
        <v>3162.5</v>
      </c>
      <c r="N131" t="n" s="7">
        <v>44133.0</v>
      </c>
      <c r="O131" t="n" s="7">
        <v>44196.0</v>
      </c>
      <c r="P131" t="s" s="1">
        <v>3499</v>
      </c>
    </row>
    <row r="132" spans="1:16">
      <c r="A132" t="n" s="4">
        <v>127</v>
      </c>
      <c r="B132" s="2">
        <f>HYPERLINK("https://my.zakupki.prom.ua/remote/dispatcher/state_purchase_view/20681660", "UA-2020-11-03-000114-c")</f>
        <v/>
      </c>
      <c r="C132" t="s" s="2">
        <v>3245</v>
      </c>
      <c r="D132" s="2">
        <f>HYPERLINK("https://my.zakupki.prom.ua/remote/dispatcher/state_contracting_view/6156229", "UA-2020-11-03-000114-c-c1")</f>
        <v/>
      </c>
      <c r="E132" t="s" s="1">
        <v>1900</v>
      </c>
      <c r="F132" t="s" s="1">
        <v>3054</v>
      </c>
      <c r="G132" t="s" s="1">
        <v>3054</v>
      </c>
      <c r="H132" t="s" s="1">
        <v>1010</v>
      </c>
      <c r="I132" t="s" s="1">
        <v>2361</v>
      </c>
      <c r="J132" t="s" s="1">
        <v>3420</v>
      </c>
      <c r="K132" t="s" s="1">
        <v>535</v>
      </c>
      <c r="L132" t="s" s="1">
        <v>3364</v>
      </c>
      <c r="M132" t="n" s="5">
        <v>8665.0</v>
      </c>
      <c r="N132" t="n" s="7">
        <v>44137.0</v>
      </c>
      <c r="O132" t="n" s="7">
        <v>44196.0</v>
      </c>
      <c r="P132" t="s" s="1">
        <v>3499</v>
      </c>
    </row>
    <row r="133" spans="1:16">
      <c r="A133" t="n" s="4">
        <v>128</v>
      </c>
      <c r="B133" s="2">
        <f>HYPERLINK("https://my.zakupki.prom.ua/remote/dispatcher/state_purchase_view/20682021", "UA-2020-11-03-000153-c")</f>
        <v/>
      </c>
      <c r="C133" t="s" s="2">
        <v>3245</v>
      </c>
      <c r="D133" s="2">
        <f>HYPERLINK("https://my.zakupki.prom.ua/remote/dispatcher/state_contracting_view/6156276", "UA-2020-11-03-000153-c-c1")</f>
        <v/>
      </c>
      <c r="E133" t="s" s="1">
        <v>2210</v>
      </c>
      <c r="F133" t="s" s="1">
        <v>2721</v>
      </c>
      <c r="G133" t="s" s="1">
        <v>2721</v>
      </c>
      <c r="H133" t="s" s="1">
        <v>637</v>
      </c>
      <c r="I133" t="s" s="1">
        <v>2361</v>
      </c>
      <c r="J133" t="s" s="1">
        <v>3420</v>
      </c>
      <c r="K133" t="s" s="1">
        <v>535</v>
      </c>
      <c r="L133" t="s" s="1">
        <v>3365</v>
      </c>
      <c r="M133" t="n" s="5">
        <v>1970.0</v>
      </c>
      <c r="N133" t="n" s="7">
        <v>44137.0</v>
      </c>
      <c r="O133" t="n" s="7">
        <v>44196.0</v>
      </c>
      <c r="P133" t="s" s="1">
        <v>3499</v>
      </c>
    </row>
    <row r="134" spans="1:16">
      <c r="A134" t="n" s="4">
        <v>129</v>
      </c>
      <c r="B134" s="2">
        <f>HYPERLINK("https://my.zakupki.prom.ua/remote/dispatcher/state_purchase_view/20672897", "UA-2020-11-02-008308-c")</f>
        <v/>
      </c>
      <c r="C134" t="s" s="2">
        <v>3245</v>
      </c>
      <c r="D134" s="2">
        <f>HYPERLINK("https://my.zakupki.prom.ua/remote/dispatcher/state_contracting_view/6152715", "UA-2020-11-02-008308-c-c1")</f>
        <v/>
      </c>
      <c r="E134" t="s" s="1">
        <v>1989</v>
      </c>
      <c r="F134" t="s" s="1">
        <v>2398</v>
      </c>
      <c r="G134" t="s" s="1">
        <v>2398</v>
      </c>
      <c r="H134" t="s" s="1">
        <v>1007</v>
      </c>
      <c r="I134" t="s" s="1">
        <v>2361</v>
      </c>
      <c r="J134" t="s" s="1">
        <v>3251</v>
      </c>
      <c r="K134" t="s" s="1">
        <v>486</v>
      </c>
      <c r="L134" t="s" s="1">
        <v>3265</v>
      </c>
      <c r="M134" t="n" s="5">
        <v>1483.04</v>
      </c>
      <c r="N134" t="n" s="7">
        <v>44137.0</v>
      </c>
      <c r="O134" t="n" s="7">
        <v>44196.0</v>
      </c>
      <c r="P134" t="s" s="1">
        <v>3499</v>
      </c>
    </row>
    <row r="135" spans="1:16">
      <c r="A135" t="n" s="4">
        <v>130</v>
      </c>
      <c r="B135" s="2">
        <f>HYPERLINK("https://my.zakupki.prom.ua/remote/dispatcher/state_purchase_view/19699874", "UA-2020-09-29-008102-a")</f>
        <v/>
      </c>
      <c r="C135" t="s" s="2">
        <v>3245</v>
      </c>
      <c r="D135" s="2">
        <f>HYPERLINK("https://my.zakupki.prom.ua/remote/dispatcher/state_contracting_view/6227790", "UA-2020-09-29-008102-a-a1")</f>
        <v/>
      </c>
      <c r="E135" t="s" s="1">
        <v>2157</v>
      </c>
      <c r="F135" t="s" s="1">
        <v>2537</v>
      </c>
      <c r="G135" t="s" s="1">
        <v>3234</v>
      </c>
      <c r="H135" t="s" s="1">
        <v>207</v>
      </c>
      <c r="I135" t="s" s="1">
        <v>2311</v>
      </c>
      <c r="J135" t="s" s="1">
        <v>3445</v>
      </c>
      <c r="K135" t="s" s="1">
        <v>618</v>
      </c>
      <c r="L135" t="s" s="1">
        <v>1645</v>
      </c>
      <c r="M135" t="n" s="5">
        <v>186900.0</v>
      </c>
      <c r="N135" t="n" s="7">
        <v>44141.0</v>
      </c>
      <c r="O135" t="n" s="7">
        <v>44196.0</v>
      </c>
      <c r="P135" t="s" s="1">
        <v>3499</v>
      </c>
    </row>
    <row r="136" spans="1:16">
      <c r="A136" t="n" s="4">
        <v>131</v>
      </c>
      <c r="B136" s="2">
        <f>HYPERLINK("https://my.zakupki.prom.ua/remote/dispatcher/state_purchase_view/20980955", "UA-2020-11-11-008851-a")</f>
        <v/>
      </c>
      <c r="C136" t="s" s="2">
        <v>3245</v>
      </c>
      <c r="D136" s="2">
        <f>HYPERLINK("https://my.zakupki.prom.ua/remote/dispatcher/state_contracting_view/6298864", "UA-2020-11-11-008851-a-a1")</f>
        <v/>
      </c>
      <c r="E136" t="s" s="1">
        <v>1392</v>
      </c>
      <c r="F136" t="s" s="1">
        <v>2956</v>
      </c>
      <c r="G136" t="s" s="1">
        <v>2956</v>
      </c>
      <c r="H136" t="s" s="1">
        <v>733</v>
      </c>
      <c r="I136" t="s" s="1">
        <v>2361</v>
      </c>
      <c r="J136" t="s" s="1">
        <v>3467</v>
      </c>
      <c r="K136" t="s" s="1">
        <v>766</v>
      </c>
      <c r="L136" t="s" s="1">
        <v>1680</v>
      </c>
      <c r="M136" t="n" s="5">
        <v>303.1</v>
      </c>
      <c r="N136" t="n" s="7">
        <v>44146.0</v>
      </c>
      <c r="O136" t="n" s="7">
        <v>44196.0</v>
      </c>
      <c r="P136" t="s" s="1">
        <v>3499</v>
      </c>
    </row>
    <row r="137" spans="1:16">
      <c r="A137" t="n" s="4">
        <v>132</v>
      </c>
      <c r="B137" s="2">
        <f>HYPERLINK("https://my.zakupki.prom.ua/remote/dispatcher/state_purchase_view/20986438", "UA-2020-11-11-010379-a")</f>
        <v/>
      </c>
      <c r="C137" t="s" s="2">
        <v>3245</v>
      </c>
      <c r="D137" s="2">
        <f>HYPERLINK("https://my.zakupki.prom.ua/remote/dispatcher/state_contracting_view/6301557", "UA-2020-11-11-010379-a-a1")</f>
        <v/>
      </c>
      <c r="E137" t="s" s="1">
        <v>2170</v>
      </c>
      <c r="F137" t="s" s="1">
        <v>2718</v>
      </c>
      <c r="G137" t="s" s="1">
        <v>2718</v>
      </c>
      <c r="H137" t="s" s="1">
        <v>636</v>
      </c>
      <c r="I137" t="s" s="1">
        <v>2361</v>
      </c>
      <c r="J137" t="s" s="1">
        <v>3467</v>
      </c>
      <c r="K137" t="s" s="1">
        <v>766</v>
      </c>
      <c r="L137" t="s" s="1">
        <v>1695</v>
      </c>
      <c r="M137" t="n" s="5">
        <v>1440.0</v>
      </c>
      <c r="N137" t="n" s="7">
        <v>44146.0</v>
      </c>
      <c r="O137" t="n" s="7">
        <v>44196.0</v>
      </c>
      <c r="P137" t="s" s="1">
        <v>3499</v>
      </c>
    </row>
    <row r="138" spans="1:16">
      <c r="A138" t="n" s="4">
        <v>133</v>
      </c>
      <c r="B138" s="2">
        <f>HYPERLINK("https://my.zakupki.prom.ua/remote/dispatcher/state_purchase_view/20985047", "UA-2020-11-11-009985-a")</f>
        <v/>
      </c>
      <c r="C138" t="s" s="2">
        <v>3245</v>
      </c>
      <c r="D138" s="2">
        <f>HYPERLINK("https://my.zakupki.prom.ua/remote/dispatcher/state_contracting_view/6301102", "UA-2020-11-11-009985-a-a1")</f>
        <v/>
      </c>
      <c r="E138" t="s" s="1">
        <v>2181</v>
      </c>
      <c r="F138" t="s" s="1">
        <v>2997</v>
      </c>
      <c r="G138" t="s" s="1">
        <v>2997</v>
      </c>
      <c r="H138" t="s" s="1">
        <v>848</v>
      </c>
      <c r="I138" t="s" s="1">
        <v>2361</v>
      </c>
      <c r="J138" t="s" s="1">
        <v>3467</v>
      </c>
      <c r="K138" t="s" s="1">
        <v>766</v>
      </c>
      <c r="L138" t="s" s="1">
        <v>1688</v>
      </c>
      <c r="M138" t="n" s="5">
        <v>5507.4</v>
      </c>
      <c r="N138" t="n" s="7">
        <v>44146.0</v>
      </c>
      <c r="O138" t="n" s="7">
        <v>44196.0</v>
      </c>
      <c r="P138" t="s" s="1">
        <v>3499</v>
      </c>
    </row>
    <row r="139" spans="1:16">
      <c r="A139" t="n" s="4">
        <v>134</v>
      </c>
      <c r="B139" s="2">
        <f>HYPERLINK("https://my.zakupki.prom.ua/remote/dispatcher/state_purchase_view/20987218", "UA-2020-11-11-010607-a")</f>
        <v/>
      </c>
      <c r="C139" t="s" s="2">
        <v>3245</v>
      </c>
      <c r="D139" s="2">
        <f>HYPERLINK("https://my.zakupki.prom.ua/remote/dispatcher/state_contracting_view/6302128", "UA-2020-11-11-010607-a-a1")</f>
        <v/>
      </c>
      <c r="E139" t="s" s="1">
        <v>1056</v>
      </c>
      <c r="F139" t="s" s="1">
        <v>2790</v>
      </c>
      <c r="G139" t="s" s="1">
        <v>2790</v>
      </c>
      <c r="H139" t="s" s="1">
        <v>690</v>
      </c>
      <c r="I139" t="s" s="1">
        <v>2361</v>
      </c>
      <c r="J139" t="s" s="1">
        <v>3467</v>
      </c>
      <c r="K139" t="s" s="1">
        <v>766</v>
      </c>
      <c r="L139" t="s" s="1">
        <v>1679</v>
      </c>
      <c r="M139" t="n" s="5">
        <v>375.0</v>
      </c>
      <c r="N139" t="n" s="7">
        <v>44146.0</v>
      </c>
      <c r="O139" t="n" s="7">
        <v>44196.0</v>
      </c>
      <c r="P139" t="s" s="1">
        <v>3499</v>
      </c>
    </row>
    <row r="140" spans="1:16">
      <c r="A140" t="n" s="4">
        <v>135</v>
      </c>
      <c r="B140" s="2">
        <f>HYPERLINK("https://my.zakupki.prom.ua/remote/dispatcher/state_purchase_view/17563449", "UA-2020-06-30-005533-a")</f>
        <v/>
      </c>
      <c r="C140" t="s" s="2">
        <v>3245</v>
      </c>
      <c r="D140" s="2">
        <f>HYPERLINK("https://my.zakupki.prom.ua/remote/dispatcher/state_contracting_view/4683161", "UA-2020-06-30-005533-a-a1")</f>
        <v/>
      </c>
      <c r="E140" t="s" s="1">
        <v>94</v>
      </c>
      <c r="F140" t="s" s="1">
        <v>2438</v>
      </c>
      <c r="G140" t="s" s="1">
        <v>2438</v>
      </c>
      <c r="H140" t="s" s="1">
        <v>703</v>
      </c>
      <c r="I140" t="s" s="1">
        <v>2361</v>
      </c>
      <c r="J140" t="s" s="1">
        <v>3409</v>
      </c>
      <c r="K140" t="s" s="1">
        <v>823</v>
      </c>
      <c r="L140" t="s" s="1">
        <v>200</v>
      </c>
      <c r="M140" t="n" s="5">
        <v>10001.29</v>
      </c>
      <c r="N140" t="n" s="7">
        <v>44012.0</v>
      </c>
      <c r="O140" t="n" s="7">
        <v>44196.0</v>
      </c>
      <c r="P140" t="s" s="1">
        <v>3499</v>
      </c>
    </row>
    <row r="141" spans="1:16">
      <c r="A141" t="n" s="4">
        <v>136</v>
      </c>
      <c r="B141" s="2">
        <f>HYPERLINK("https://my.zakupki.prom.ua/remote/dispatcher/state_purchase_view/17575442", "UA-2020-07-01-002691-a")</f>
        <v/>
      </c>
      <c r="C141" t="s" s="2">
        <v>3245</v>
      </c>
      <c r="D141" s="2">
        <f>HYPERLINK("https://my.zakupki.prom.ua/remote/dispatcher/state_contracting_view/4688357", "UA-2020-07-01-002691-a-a1")</f>
        <v/>
      </c>
      <c r="E141" t="s" s="1">
        <v>560</v>
      </c>
      <c r="F141" t="s" s="1">
        <v>2428</v>
      </c>
      <c r="G141" t="s" s="1">
        <v>2428</v>
      </c>
      <c r="H141" t="s" s="1">
        <v>445</v>
      </c>
      <c r="I141" t="s" s="1">
        <v>2361</v>
      </c>
      <c r="J141" t="s" s="1">
        <v>3418</v>
      </c>
      <c r="K141" t="s" s="1">
        <v>949</v>
      </c>
      <c r="L141" t="s" s="1">
        <v>3185</v>
      </c>
      <c r="M141" t="n" s="5">
        <v>8400.0</v>
      </c>
      <c r="N141" t="n" s="7">
        <v>44012.0</v>
      </c>
      <c r="O141" t="n" s="7">
        <v>44196.0</v>
      </c>
      <c r="P141" t="s" s="1">
        <v>3499</v>
      </c>
    </row>
    <row r="142" spans="1:16">
      <c r="A142" t="n" s="4">
        <v>137</v>
      </c>
      <c r="B142" s="2">
        <f>HYPERLINK("https://my.zakupki.prom.ua/remote/dispatcher/state_purchase_view/17564839", "UA-2020-06-30-005999-a")</f>
        <v/>
      </c>
      <c r="C142" t="s" s="2">
        <v>3245</v>
      </c>
      <c r="D142" s="2">
        <f>HYPERLINK("https://my.zakupki.prom.ua/remote/dispatcher/state_contracting_view/4685813", "UA-2020-06-30-005999-a-a1")</f>
        <v/>
      </c>
      <c r="E142" t="s" s="1">
        <v>2005</v>
      </c>
      <c r="F142" t="s" s="1">
        <v>2433</v>
      </c>
      <c r="G142" t="s" s="1">
        <v>2433</v>
      </c>
      <c r="H142" t="s" s="1">
        <v>690</v>
      </c>
      <c r="I142" t="s" s="1">
        <v>2361</v>
      </c>
      <c r="J142" t="s" s="1">
        <v>3392</v>
      </c>
      <c r="K142" t="s" s="1">
        <v>428</v>
      </c>
      <c r="L142" t="s" s="1">
        <v>425</v>
      </c>
      <c r="M142" t="n" s="5">
        <v>1462.32</v>
      </c>
      <c r="N142" t="n" s="7">
        <v>44008.0</v>
      </c>
      <c r="O142" t="n" s="7">
        <v>44196.0</v>
      </c>
      <c r="P142" t="s" s="1">
        <v>3499</v>
      </c>
    </row>
    <row r="143" spans="1:16">
      <c r="A143" t="n" s="4">
        <v>138</v>
      </c>
      <c r="B143" s="2">
        <f>HYPERLINK("https://my.zakupki.prom.ua/remote/dispatcher/state_purchase_view/21113476", "UA-2020-11-16-012157-c")</f>
        <v/>
      </c>
      <c r="C143" t="s" s="2">
        <v>3245</v>
      </c>
      <c r="D143" s="2">
        <f>HYPERLINK("https://my.zakupki.prom.ua/remote/dispatcher/state_contracting_view/6360539", "UA-2020-11-16-012157-c-c1")</f>
        <v/>
      </c>
      <c r="E143" t="s" s="1">
        <v>2256</v>
      </c>
      <c r="F143" t="s" s="1">
        <v>2965</v>
      </c>
      <c r="G143" t="s" s="1">
        <v>2965</v>
      </c>
      <c r="H143" t="s" s="1">
        <v>742</v>
      </c>
      <c r="I143" t="s" s="1">
        <v>2361</v>
      </c>
      <c r="J143" t="s" s="1">
        <v>3403</v>
      </c>
      <c r="K143" t="s" s="1">
        <v>771</v>
      </c>
      <c r="L143" t="s" s="1">
        <v>1708</v>
      </c>
      <c r="M143" t="n" s="5">
        <v>7500.0</v>
      </c>
      <c r="N143" t="n" s="7">
        <v>44151.0</v>
      </c>
      <c r="O143" t="n" s="7">
        <v>44196.0</v>
      </c>
      <c r="P143" t="s" s="1">
        <v>3499</v>
      </c>
    </row>
    <row r="144" spans="1:16">
      <c r="A144" t="n" s="4">
        <v>139</v>
      </c>
      <c r="B144" s="2">
        <f>HYPERLINK("https://my.zakupki.prom.ua/remote/dispatcher/state_purchase_view/21146520", "UA-2020-11-17-007064-c")</f>
        <v/>
      </c>
      <c r="C144" t="s" s="2">
        <v>3245</v>
      </c>
      <c r="D144" s="2">
        <f>HYPERLINK("https://my.zakupki.prom.ua/remote/dispatcher/state_contracting_view/6376646", "UA-2020-11-17-007064-c-c1")</f>
        <v/>
      </c>
      <c r="E144" t="s" s="1">
        <v>893</v>
      </c>
      <c r="F144" t="s" s="1">
        <v>2821</v>
      </c>
      <c r="G144" t="s" s="1">
        <v>2821</v>
      </c>
      <c r="H144" t="s" s="1">
        <v>698</v>
      </c>
      <c r="I144" t="s" s="1">
        <v>2361</v>
      </c>
      <c r="J144" t="s" s="1">
        <v>3403</v>
      </c>
      <c r="K144" t="s" s="1">
        <v>771</v>
      </c>
      <c r="L144" t="s" s="1">
        <v>1718</v>
      </c>
      <c r="M144" t="n" s="5">
        <v>45300.59</v>
      </c>
      <c r="N144" t="n" s="7">
        <v>44152.0</v>
      </c>
      <c r="O144" t="n" s="7">
        <v>44196.0</v>
      </c>
      <c r="P144" t="s" s="1">
        <v>3499</v>
      </c>
    </row>
    <row r="145" spans="1:16">
      <c r="A145" t="n" s="4">
        <v>140</v>
      </c>
      <c r="B145" s="2">
        <f>HYPERLINK("https://my.zakupki.prom.ua/remote/dispatcher/state_purchase_view/21174820", "UA-2020-11-18-001992-c")</f>
        <v/>
      </c>
      <c r="C145" t="s" s="2">
        <v>3245</v>
      </c>
      <c r="D145" s="2">
        <f>HYPERLINK("https://my.zakupki.prom.ua/remote/dispatcher/state_contracting_view/6389319", "UA-2020-11-18-001992-c-c1")</f>
        <v/>
      </c>
      <c r="E145" t="s" s="1">
        <v>500</v>
      </c>
      <c r="F145" t="s" s="1">
        <v>2599</v>
      </c>
      <c r="G145" t="s" s="1">
        <v>2599</v>
      </c>
      <c r="H145" t="s" s="1">
        <v>221</v>
      </c>
      <c r="I145" t="s" s="1">
        <v>2361</v>
      </c>
      <c r="J145" t="s" s="1">
        <v>3467</v>
      </c>
      <c r="K145" t="s" s="1">
        <v>766</v>
      </c>
      <c r="L145" t="s" s="1">
        <v>1760</v>
      </c>
      <c r="M145" t="n" s="5">
        <v>16860.0</v>
      </c>
      <c r="N145" t="n" s="7">
        <v>44151.0</v>
      </c>
      <c r="O145" t="n" s="7">
        <v>44196.0</v>
      </c>
      <c r="P145" t="s" s="1">
        <v>3499</v>
      </c>
    </row>
    <row r="146" spans="1:16">
      <c r="A146" t="n" s="4">
        <v>141</v>
      </c>
      <c r="B146" s="2">
        <f>HYPERLINK("https://my.zakupki.prom.ua/remote/dispatcher/state_purchase_view/22427833", "UA-2020-12-21-002487-c")</f>
        <v/>
      </c>
      <c r="C146" t="s" s="2">
        <v>3245</v>
      </c>
      <c r="D146" s="2">
        <f>HYPERLINK("https://my.zakupki.prom.ua/remote/dispatcher/state_contracting_view/6981555", "UA-2020-12-21-002487-c-c1")</f>
        <v/>
      </c>
      <c r="E146" t="s" s="1">
        <v>2165</v>
      </c>
      <c r="F146" t="s" s="1">
        <v>2900</v>
      </c>
      <c r="G146" t="s" s="1">
        <v>3531</v>
      </c>
      <c r="H146" t="s" s="1">
        <v>718</v>
      </c>
      <c r="I146" t="s" s="1">
        <v>2361</v>
      </c>
      <c r="J146" t="s" s="1">
        <v>3392</v>
      </c>
      <c r="K146" t="s" s="1">
        <v>428</v>
      </c>
      <c r="L146" t="s" s="1">
        <v>1864</v>
      </c>
      <c r="M146" t="n" s="5">
        <v>16007.99</v>
      </c>
      <c r="N146" t="n" s="7">
        <v>44183.0</v>
      </c>
      <c r="O146" t="n" s="7">
        <v>44196.0</v>
      </c>
      <c r="P146" t="s" s="1">
        <v>3499</v>
      </c>
    </row>
    <row r="147" spans="1:16">
      <c r="A147" t="n" s="4">
        <v>142</v>
      </c>
      <c r="B147" s="2">
        <f>HYPERLINK("https://my.zakupki.prom.ua/remote/dispatcher/state_purchase_view/22097704", "UA-2020-12-14-000686-c")</f>
        <v/>
      </c>
      <c r="C147" t="s" s="2">
        <v>3245</v>
      </c>
      <c r="D147" s="2">
        <f>HYPERLINK("https://my.zakupki.prom.ua/remote/dispatcher/state_contracting_view/6821633", "UA-2020-12-14-000686-c-c1")</f>
        <v/>
      </c>
      <c r="E147" t="s" s="1">
        <v>2194</v>
      </c>
      <c r="F147" t="s" s="1">
        <v>3101</v>
      </c>
      <c r="G147" t="s" s="1">
        <v>3101</v>
      </c>
      <c r="H147" t="s" s="1">
        <v>1144</v>
      </c>
      <c r="I147" t="s" s="1">
        <v>2361</v>
      </c>
      <c r="J147" t="s" s="1">
        <v>3220</v>
      </c>
      <c r="K147" t="s" s="1">
        <v>588</v>
      </c>
      <c r="L147" t="s" s="1">
        <v>1853</v>
      </c>
      <c r="M147" t="n" s="5">
        <v>940.0</v>
      </c>
      <c r="N147" t="n" s="7">
        <v>44179.0</v>
      </c>
      <c r="O147" t="n" s="7">
        <v>44196.0</v>
      </c>
      <c r="P147" t="s" s="1">
        <v>3499</v>
      </c>
    </row>
    <row r="148" spans="1:16">
      <c r="A148" t="n" s="4">
        <v>143</v>
      </c>
      <c r="B148" s="2">
        <f>HYPERLINK("https://my.zakupki.prom.ua/remote/dispatcher/state_purchase_view/22747682", "UA-2020-12-29-000373-a")</f>
        <v/>
      </c>
      <c r="C148" t="s" s="2">
        <v>3245</v>
      </c>
      <c r="D148" s="2">
        <f>HYPERLINK("https://my.zakupki.prom.ua/remote/dispatcher/state_contracting_view/7137844", "UA-2020-12-29-000373-a-a1")</f>
        <v/>
      </c>
      <c r="E148" t="s" s="1">
        <v>179</v>
      </c>
      <c r="F148" t="s" s="1">
        <v>3029</v>
      </c>
      <c r="G148" t="s" s="1">
        <v>3029</v>
      </c>
      <c r="H148" t="s" s="1">
        <v>868</v>
      </c>
      <c r="I148" t="s" s="1">
        <v>2361</v>
      </c>
      <c r="J148" t="s" s="1">
        <v>3420</v>
      </c>
      <c r="K148" t="s" s="1">
        <v>535</v>
      </c>
      <c r="L148" t="s" s="1">
        <v>3362</v>
      </c>
      <c r="M148" t="n" s="5">
        <v>305.0</v>
      </c>
      <c r="N148" t="n" s="7">
        <v>44194.0</v>
      </c>
      <c r="O148" t="n" s="7">
        <v>44196.0</v>
      </c>
      <c r="P148" t="s" s="1">
        <v>3499</v>
      </c>
    </row>
    <row r="149" spans="1:16">
      <c r="A149" t="n" s="4">
        <v>144</v>
      </c>
      <c r="B149" s="2">
        <f>HYPERLINK("https://my.zakupki.prom.ua/remote/dispatcher/state_purchase_view/21147572", "UA-2020-11-17-007357-c")</f>
        <v/>
      </c>
      <c r="C149" t="s" s="2">
        <v>3245</v>
      </c>
      <c r="D149" s="2">
        <f>HYPERLINK("https://my.zakupki.prom.ua/remote/dispatcher/state_contracting_view/6376798", "UA-2020-11-17-007357-c-c1")</f>
        <v/>
      </c>
      <c r="E149" t="s" s="1">
        <v>1484</v>
      </c>
      <c r="F149" t="s" s="1">
        <v>2823</v>
      </c>
      <c r="G149" t="s" s="1">
        <v>2823</v>
      </c>
      <c r="H149" t="s" s="1">
        <v>701</v>
      </c>
      <c r="I149" t="s" s="1">
        <v>2361</v>
      </c>
      <c r="J149" t="s" s="1">
        <v>3403</v>
      </c>
      <c r="K149" t="s" s="1">
        <v>771</v>
      </c>
      <c r="L149" t="s" s="1">
        <v>1717</v>
      </c>
      <c r="M149" t="n" s="5">
        <v>963.0</v>
      </c>
      <c r="N149" t="n" s="7">
        <v>44152.0</v>
      </c>
      <c r="O149" t="n" s="7">
        <v>44196.0</v>
      </c>
      <c r="P149" t="s" s="1">
        <v>3499</v>
      </c>
    </row>
    <row r="150" spans="1:16">
      <c r="A150" t="n" s="4">
        <v>145</v>
      </c>
      <c r="B150" s="2">
        <f>HYPERLINK("https://my.zakupki.prom.ua/remote/dispatcher/state_purchase_view/21172165", "UA-2020-11-18-001193-c")</f>
        <v/>
      </c>
      <c r="C150" t="s" s="2">
        <v>3245</v>
      </c>
      <c r="D150" s="2">
        <f>HYPERLINK("https://my.zakupki.prom.ua/remote/dispatcher/state_contracting_view/6387672", "UA-2020-11-18-001193-c-c1")</f>
        <v/>
      </c>
      <c r="E150" t="s" s="1">
        <v>1888</v>
      </c>
      <c r="F150" t="s" s="1">
        <v>2571</v>
      </c>
      <c r="G150" t="s" s="1">
        <v>2571</v>
      </c>
      <c r="H150" t="s" s="1">
        <v>216</v>
      </c>
      <c r="I150" t="s" s="1">
        <v>2361</v>
      </c>
      <c r="J150" t="s" s="1">
        <v>3467</v>
      </c>
      <c r="K150" t="s" s="1">
        <v>766</v>
      </c>
      <c r="L150" t="s" s="1">
        <v>1753</v>
      </c>
      <c r="M150" t="n" s="5">
        <v>1200.0</v>
      </c>
      <c r="N150" t="n" s="7">
        <v>44151.0</v>
      </c>
      <c r="O150" t="n" s="7">
        <v>44196.0</v>
      </c>
      <c r="P150" t="s" s="1">
        <v>3499</v>
      </c>
    </row>
    <row r="151" spans="1:16">
      <c r="A151" t="n" s="4">
        <v>146</v>
      </c>
      <c r="B151" s="2">
        <f>HYPERLINK("https://my.zakupki.prom.ua/remote/dispatcher/state_purchase_view/21585706", "UA-2020-12-01-000407-b")</f>
        <v/>
      </c>
      <c r="C151" t="s" s="2">
        <v>3245</v>
      </c>
      <c r="D151" s="2">
        <f>HYPERLINK("https://my.zakupki.prom.ua/remote/dispatcher/state_contracting_view/6581066", "UA-2020-12-01-000407-b-b1")</f>
        <v/>
      </c>
      <c r="E151" t="s" s="1">
        <v>2008</v>
      </c>
      <c r="F151" t="s" s="1">
        <v>2985</v>
      </c>
      <c r="G151" t="s" s="1">
        <v>2985</v>
      </c>
      <c r="H151" t="s" s="1">
        <v>845</v>
      </c>
      <c r="I151" t="s" s="1">
        <v>2361</v>
      </c>
      <c r="J151" t="s" s="1">
        <v>2377</v>
      </c>
      <c r="K151" t="s" s="1">
        <v>616</v>
      </c>
      <c r="L151" t="s" s="1">
        <v>17</v>
      </c>
      <c r="M151" t="n" s="5">
        <v>37052.0</v>
      </c>
      <c r="N151" t="n" s="7">
        <v>44166.0</v>
      </c>
      <c r="O151" t="n" s="7">
        <v>44196.0</v>
      </c>
      <c r="P151" t="s" s="1">
        <v>3499</v>
      </c>
    </row>
    <row r="152" spans="1:16">
      <c r="A152" t="n" s="4">
        <v>147</v>
      </c>
      <c r="B152" s="2">
        <f>HYPERLINK("https://my.zakupki.prom.ua/remote/dispatcher/state_purchase_view/21104873", "UA-2020-11-16-009040-c")</f>
        <v/>
      </c>
      <c r="C152" t="s" s="2">
        <v>3245</v>
      </c>
      <c r="D152" s="2">
        <f>HYPERLINK("https://my.zakupki.prom.ua/remote/dispatcher/state_contracting_view/6356266", "UA-2020-11-16-009040-c-c1")</f>
        <v/>
      </c>
      <c r="E152" t="s" s="1">
        <v>1651</v>
      </c>
      <c r="F152" t="s" s="1">
        <v>3096</v>
      </c>
      <c r="G152" t="s" s="1">
        <v>3096</v>
      </c>
      <c r="H152" t="s" s="1">
        <v>1092</v>
      </c>
      <c r="I152" t="s" s="1">
        <v>2361</v>
      </c>
      <c r="J152" t="s" s="1">
        <v>3400</v>
      </c>
      <c r="K152" t="s" s="1">
        <v>716</v>
      </c>
      <c r="L152" t="s" s="1">
        <v>2352</v>
      </c>
      <c r="M152" t="n" s="5">
        <v>4020.0</v>
      </c>
      <c r="N152" t="n" s="7">
        <v>44151.0</v>
      </c>
      <c r="O152" t="n" s="7">
        <v>44196.0</v>
      </c>
      <c r="P152" t="s" s="1">
        <v>3499</v>
      </c>
    </row>
    <row r="153" spans="1:16">
      <c r="A153" t="n" s="4">
        <v>148</v>
      </c>
      <c r="B153" s="2">
        <f>HYPERLINK("https://my.zakupki.prom.ua/remote/dispatcher/state_purchase_view/15494469", "UA-2020-02-26-002064-a")</f>
        <v/>
      </c>
      <c r="C153" t="s" s="2">
        <v>3245</v>
      </c>
      <c r="D153" s="2">
        <f>HYPERLINK("https://my.zakupki.prom.ua/remote/dispatcher/state_contracting_view/3929293", "UA-2020-02-26-002064-a-a1")</f>
        <v/>
      </c>
      <c r="E153" t="s" s="1">
        <v>1462</v>
      </c>
      <c r="F153" t="s" s="1">
        <v>78</v>
      </c>
      <c r="G153" t="s" s="1">
        <v>78</v>
      </c>
      <c r="H153" t="s" s="1">
        <v>78</v>
      </c>
      <c r="I153" t="s" s="1">
        <v>3312</v>
      </c>
      <c r="J153" t="s" s="1">
        <v>3379</v>
      </c>
      <c r="K153" t="s" s="1">
        <v>812</v>
      </c>
      <c r="L153" t="s" s="1">
        <v>1518</v>
      </c>
      <c r="M153" t="n" s="5">
        <v>1954174.65</v>
      </c>
      <c r="N153" t="n" s="7">
        <v>43902.0</v>
      </c>
      <c r="O153" t="n" s="7">
        <v>44196.0</v>
      </c>
      <c r="P153" t="s" s="1">
        <v>3499</v>
      </c>
    </row>
    <row r="154" spans="1:16">
      <c r="A154" t="n" s="4">
        <v>149</v>
      </c>
      <c r="B154" s="2">
        <f>HYPERLINK("https://my.zakupki.prom.ua/remote/dispatcher/state_purchase_view/15396816", "UA-2020-02-20-001975-b")</f>
        <v/>
      </c>
      <c r="C154" t="s" s="2">
        <v>3245</v>
      </c>
      <c r="D154" s="2">
        <f>HYPERLINK("https://my.zakupki.prom.ua/remote/dispatcher/state_contracting_view/3830084", "UA-2020-02-20-001975-b-b1")</f>
        <v/>
      </c>
      <c r="E154" t="s" s="1">
        <v>307</v>
      </c>
      <c r="F154" t="s" s="1">
        <v>401</v>
      </c>
      <c r="G154" t="s" s="1">
        <v>401</v>
      </c>
      <c r="H154" t="s" s="1">
        <v>401</v>
      </c>
      <c r="I154" t="s" s="1">
        <v>2361</v>
      </c>
      <c r="J154" t="s" s="1">
        <v>2316</v>
      </c>
      <c r="K154" t="s" s="1">
        <v>768</v>
      </c>
      <c r="L154" t="s" s="1">
        <v>759</v>
      </c>
      <c r="M154" t="n" s="5">
        <v>3673.0</v>
      </c>
      <c r="N154" t="n" s="7">
        <v>43881.0</v>
      </c>
      <c r="O154" t="n" s="7">
        <v>44196.0</v>
      </c>
      <c r="P154" t="s" s="1">
        <v>3499</v>
      </c>
    </row>
    <row r="155" spans="1:16">
      <c r="A155" t="n" s="4">
        <v>150</v>
      </c>
      <c r="B155" s="2">
        <f>HYPERLINK("https://my.zakupki.prom.ua/remote/dispatcher/state_purchase_view/15398137", "UA-2020-02-20-002231-b")</f>
        <v/>
      </c>
      <c r="C155" t="s" s="2">
        <v>3245</v>
      </c>
      <c r="D155" s="2">
        <f>HYPERLINK("https://my.zakupki.prom.ua/remote/dispatcher/state_contracting_view/3830524", "UA-2020-02-20-002231-b-b1")</f>
        <v/>
      </c>
      <c r="E155" t="s" s="1">
        <v>1884</v>
      </c>
      <c r="F155" t="s" s="1">
        <v>727</v>
      </c>
      <c r="G155" t="s" s="1">
        <v>727</v>
      </c>
      <c r="H155" t="s" s="1">
        <v>727</v>
      </c>
      <c r="I155" t="s" s="1">
        <v>2361</v>
      </c>
      <c r="J155" t="s" s="1">
        <v>3409</v>
      </c>
      <c r="K155" t="s" s="1">
        <v>823</v>
      </c>
      <c r="L155" t="s" s="1">
        <v>340</v>
      </c>
      <c r="M155" t="n" s="5">
        <v>11225.37</v>
      </c>
      <c r="N155" t="n" s="7">
        <v>43881.0</v>
      </c>
      <c r="O155" t="n" s="7">
        <v>44196.0</v>
      </c>
      <c r="P155" t="s" s="1">
        <v>3499</v>
      </c>
    </row>
    <row r="156" spans="1:16">
      <c r="A156" t="n" s="4">
        <v>151</v>
      </c>
      <c r="B156" s="2">
        <f>HYPERLINK("https://my.zakupki.prom.ua/remote/dispatcher/state_purchase_view/14989658", "UA-2020-01-31-000649-a")</f>
        <v/>
      </c>
      <c r="C156" t="s" s="2">
        <v>3245</v>
      </c>
      <c r="D156" s="2">
        <f>HYPERLINK("https://my.zakupki.prom.ua/remote/dispatcher/state_contracting_view/3726420", "UA-2020-01-31-000649-a-a1")</f>
        <v/>
      </c>
      <c r="E156" t="s" s="1">
        <v>1600</v>
      </c>
      <c r="F156" t="s" s="1">
        <v>1019</v>
      </c>
      <c r="G156" t="s" s="1">
        <v>3429</v>
      </c>
      <c r="H156" t="s" s="1">
        <v>1019</v>
      </c>
      <c r="I156" t="s" s="1">
        <v>2361</v>
      </c>
      <c r="J156" t="s" s="1">
        <v>3308</v>
      </c>
      <c r="K156" t="s" s="1">
        <v>462</v>
      </c>
      <c r="L156" t="s" s="1">
        <v>203</v>
      </c>
      <c r="M156" t="n" s="5">
        <v>4190.0</v>
      </c>
      <c r="N156" t="n" s="7">
        <v>43861.0</v>
      </c>
      <c r="O156" t="n" s="7">
        <v>44196.0</v>
      </c>
      <c r="P156" t="s" s="1">
        <v>3499</v>
      </c>
    </row>
    <row r="157" spans="1:16">
      <c r="A157" t="n" s="4">
        <v>152</v>
      </c>
      <c r="B157" s="2">
        <f>HYPERLINK("https://my.zakupki.prom.ua/remote/dispatcher/state_purchase_view/15698874", "UA-2020-03-11-002141-b")</f>
        <v/>
      </c>
      <c r="C157" t="s" s="2">
        <v>3245</v>
      </c>
      <c r="D157" s="2">
        <f>HYPERLINK("https://my.zakupki.prom.ua/remote/dispatcher/state_contracting_view/3918723", "UA-2020-03-11-002141-b-b1")</f>
        <v/>
      </c>
      <c r="E157" t="s" s="1">
        <v>565</v>
      </c>
      <c r="F157" t="s" s="1">
        <v>3338</v>
      </c>
      <c r="G157" t="s" s="1">
        <v>3338</v>
      </c>
      <c r="H157" t="s" s="1">
        <v>666</v>
      </c>
      <c r="I157" t="s" s="1">
        <v>2361</v>
      </c>
      <c r="J157" t="s" s="1">
        <v>2292</v>
      </c>
      <c r="K157" t="s" s="1">
        <v>545</v>
      </c>
      <c r="L157" t="s" s="1">
        <v>1081</v>
      </c>
      <c r="M157" t="n" s="5">
        <v>3635.0</v>
      </c>
      <c r="N157" t="n" s="7">
        <v>43901.0</v>
      </c>
      <c r="O157" t="n" s="7">
        <v>44196.0</v>
      </c>
      <c r="P157" t="s" s="1">
        <v>3499</v>
      </c>
    </row>
    <row r="158" spans="1:16">
      <c r="A158" t="n" s="4">
        <v>153</v>
      </c>
      <c r="B158" s="2">
        <f>HYPERLINK("https://my.zakupki.prom.ua/remote/dispatcher/state_purchase_view/16393192", "UA-2020-04-17-005872-b")</f>
        <v/>
      </c>
      <c r="C158" t="s" s="2">
        <v>3245</v>
      </c>
      <c r="D158" s="2">
        <f>HYPERLINK("https://my.zakupki.prom.ua/remote/dispatcher/state_contracting_view/4154231", "UA-2020-04-17-005872-b-b1")</f>
        <v/>
      </c>
      <c r="E158" t="s" s="1">
        <v>1233</v>
      </c>
      <c r="F158" t="s" s="1">
        <v>2329</v>
      </c>
      <c r="G158" t="s" s="1">
        <v>2329</v>
      </c>
      <c r="H158" t="s" s="1">
        <v>703</v>
      </c>
      <c r="I158" t="s" s="1">
        <v>2361</v>
      </c>
      <c r="J158" t="s" s="1">
        <v>3417</v>
      </c>
      <c r="K158" t="s" s="1">
        <v>950</v>
      </c>
      <c r="L158" t="s" s="1">
        <v>3176</v>
      </c>
      <c r="M158" t="n" s="5">
        <v>8050.0</v>
      </c>
      <c r="N158" t="n" s="7">
        <v>43938.0</v>
      </c>
      <c r="O158" t="n" s="7">
        <v>44196.0</v>
      </c>
      <c r="P158" t="s" s="1">
        <v>3499</v>
      </c>
    </row>
    <row r="159" spans="1:16">
      <c r="A159" t="n" s="4">
        <v>154</v>
      </c>
      <c r="B159" s="2">
        <f>HYPERLINK("https://my.zakupki.prom.ua/remote/dispatcher/state_purchase_view/16860308", "UA-2020-05-26-002158-b")</f>
        <v/>
      </c>
      <c r="C159" t="s" s="2">
        <v>3245</v>
      </c>
      <c r="D159" s="2">
        <f>HYPERLINK("https://my.zakupki.prom.ua/remote/dispatcher/state_contracting_view/4367207", "UA-2020-05-26-002158-b-b1")</f>
        <v/>
      </c>
      <c r="E159" t="s" s="1">
        <v>2224</v>
      </c>
      <c r="F159" t="s" s="1">
        <v>2445</v>
      </c>
      <c r="G159" t="s" s="1">
        <v>2445</v>
      </c>
      <c r="H159" t="s" s="1">
        <v>703</v>
      </c>
      <c r="I159" t="s" s="1">
        <v>2361</v>
      </c>
      <c r="J159" t="s" s="1">
        <v>3392</v>
      </c>
      <c r="K159" t="s" s="1">
        <v>428</v>
      </c>
      <c r="L159" t="s" s="1">
        <v>220</v>
      </c>
      <c r="M159" t="n" s="5">
        <v>5992.53</v>
      </c>
      <c r="N159" t="n" s="7">
        <v>43973.0</v>
      </c>
      <c r="O159" t="n" s="7">
        <v>44196.0</v>
      </c>
      <c r="P159" t="s" s="1">
        <v>3499</v>
      </c>
    </row>
    <row r="160" spans="1:16">
      <c r="A160" t="n" s="4">
        <v>155</v>
      </c>
      <c r="B160" s="2">
        <f>HYPERLINK("https://my.zakupki.prom.ua/remote/dispatcher/state_purchase_view/16877704", "UA-2020-05-26-008096-b")</f>
        <v/>
      </c>
      <c r="C160" t="s" s="2">
        <v>3245</v>
      </c>
      <c r="D160" s="2">
        <f>HYPERLINK("https://my.zakupki.prom.ua/remote/dispatcher/state_contracting_view/4368175", "UA-2020-05-26-008096-b-b1")</f>
        <v/>
      </c>
      <c r="E160" t="s" s="1">
        <v>1872</v>
      </c>
      <c r="F160" t="s" s="1">
        <v>2446</v>
      </c>
      <c r="G160" t="s" s="1">
        <v>2446</v>
      </c>
      <c r="H160" t="s" s="1">
        <v>703</v>
      </c>
      <c r="I160" t="s" s="1">
        <v>2361</v>
      </c>
      <c r="J160" t="s" s="1">
        <v>3392</v>
      </c>
      <c r="K160" t="s" s="1">
        <v>428</v>
      </c>
      <c r="L160" t="s" s="1">
        <v>224</v>
      </c>
      <c r="M160" t="n" s="5">
        <v>1415.11</v>
      </c>
      <c r="N160" t="n" s="7">
        <v>43973.0</v>
      </c>
      <c r="O160" t="n" s="7">
        <v>44196.0</v>
      </c>
      <c r="P160" t="s" s="1">
        <v>3499</v>
      </c>
    </row>
    <row r="161" spans="1:16">
      <c r="A161" t="n" s="4">
        <v>156</v>
      </c>
      <c r="B161" s="2">
        <f>HYPERLINK("https://my.zakupki.prom.ua/remote/dispatcher/state_purchase_view/15673392", "UA-2020-03-10-001170-a")</f>
        <v/>
      </c>
      <c r="C161" t="s" s="2">
        <v>3245</v>
      </c>
      <c r="D161" s="2">
        <f>HYPERLINK("https://my.zakupki.prom.ua/remote/dispatcher/state_contracting_view/3910752", "UA-2020-03-10-001170-a-a1")</f>
        <v/>
      </c>
      <c r="E161" t="s" s="1">
        <v>2062</v>
      </c>
      <c r="F161" t="s" s="1">
        <v>3228</v>
      </c>
      <c r="G161" t="s" s="1">
        <v>3232</v>
      </c>
      <c r="H161" t="s" s="1">
        <v>703</v>
      </c>
      <c r="I161" t="s" s="1">
        <v>2361</v>
      </c>
      <c r="J161" t="s" s="1">
        <v>2293</v>
      </c>
      <c r="K161" t="s" s="1">
        <v>511</v>
      </c>
      <c r="L161" t="s" s="1">
        <v>983</v>
      </c>
      <c r="M161" t="n" s="5">
        <v>45000.0</v>
      </c>
      <c r="N161" t="n" s="7">
        <v>43900.0</v>
      </c>
      <c r="O161" t="n" s="7">
        <v>44196.0</v>
      </c>
      <c r="P161" t="s" s="1">
        <v>3499</v>
      </c>
    </row>
    <row r="162" spans="1:16">
      <c r="A162" t="n" s="4">
        <v>157</v>
      </c>
      <c r="B162" s="2">
        <f>HYPERLINK("https://my.zakupki.prom.ua/remote/dispatcher/state_purchase_view/16509428", "UA-2020-04-29-002365-b")</f>
        <v/>
      </c>
      <c r="C162" t="s" s="2">
        <v>3245</v>
      </c>
      <c r="D162" s="2">
        <f>HYPERLINK("https://my.zakupki.prom.ua/remote/dispatcher/state_contracting_view/4206012", "UA-2020-04-29-002365-b-b1")</f>
        <v/>
      </c>
      <c r="E162" t="s" s="1">
        <v>884</v>
      </c>
      <c r="F162" t="s" s="1">
        <v>2330</v>
      </c>
      <c r="G162" t="s" s="1">
        <v>2330</v>
      </c>
      <c r="H162" t="s" s="1">
        <v>703</v>
      </c>
      <c r="I162" t="s" s="1">
        <v>2361</v>
      </c>
      <c r="J162" t="s" s="1">
        <v>3392</v>
      </c>
      <c r="K162" t="s" s="1">
        <v>428</v>
      </c>
      <c r="L162" t="s" s="1">
        <v>158</v>
      </c>
      <c r="M162" t="n" s="5">
        <v>9437.86</v>
      </c>
      <c r="N162" t="n" s="7">
        <v>43950.0</v>
      </c>
      <c r="O162" t="n" s="7">
        <v>44196.0</v>
      </c>
      <c r="P162" t="s" s="1">
        <v>3499</v>
      </c>
    </row>
    <row r="163" spans="1:16">
      <c r="A163" t="n" s="4">
        <v>158</v>
      </c>
      <c r="B163" s="2">
        <f>HYPERLINK("https://my.zakupki.prom.ua/remote/dispatcher/state_purchase_view/16206470", "UA-2020-04-10-001313-b")</f>
        <v/>
      </c>
      <c r="C163" t="s" s="2">
        <v>3245</v>
      </c>
      <c r="D163" s="2">
        <f>HYPERLINK("https://my.zakupki.prom.ua/remote/dispatcher/state_contracting_view/4124310", "UA-2020-04-10-001313-b-b1")</f>
        <v/>
      </c>
      <c r="E163" t="s" s="1">
        <v>2045</v>
      </c>
      <c r="F163" t="s" s="1">
        <v>2476</v>
      </c>
      <c r="G163" t="s" s="1">
        <v>2476</v>
      </c>
      <c r="H163" t="s" s="1">
        <v>718</v>
      </c>
      <c r="I163" t="s" s="1">
        <v>2361</v>
      </c>
      <c r="J163" t="s" s="1">
        <v>3392</v>
      </c>
      <c r="K163" t="s" s="1">
        <v>428</v>
      </c>
      <c r="L163" t="s" s="1">
        <v>137</v>
      </c>
      <c r="M163" t="n" s="5">
        <v>6462.5</v>
      </c>
      <c r="N163" t="n" s="7">
        <v>43930.0</v>
      </c>
      <c r="O163" t="n" s="7">
        <v>44196.0</v>
      </c>
      <c r="P163" t="s" s="1">
        <v>3499</v>
      </c>
    </row>
    <row r="164" spans="1:16">
      <c r="A164" t="n" s="4">
        <v>159</v>
      </c>
      <c r="B164" s="2">
        <f>HYPERLINK("https://my.zakupki.prom.ua/remote/dispatcher/state_purchase_view/16402499", "UA-2020-04-17-008066-b")</f>
        <v/>
      </c>
      <c r="C164" t="s" s="2">
        <v>3245</v>
      </c>
      <c r="D164" s="2">
        <f>HYPERLINK("https://my.zakupki.prom.ua/remote/dispatcher/state_contracting_view/4157797", "UA-2020-04-17-008066-b-b1")</f>
        <v/>
      </c>
      <c r="E164" t="s" s="1">
        <v>1800</v>
      </c>
      <c r="F164" t="s" s="1">
        <v>2323</v>
      </c>
      <c r="G164" t="s" s="1">
        <v>2353</v>
      </c>
      <c r="H164" t="s" s="1">
        <v>960</v>
      </c>
      <c r="I164" t="s" s="1">
        <v>2361</v>
      </c>
      <c r="J164" t="s" s="1">
        <v>3393</v>
      </c>
      <c r="K164" t="s" s="1">
        <v>671</v>
      </c>
      <c r="L164" t="s" s="1">
        <v>285</v>
      </c>
      <c r="M164" t="n" s="5">
        <v>2598.96</v>
      </c>
      <c r="N164" t="n" s="7">
        <v>43938.0</v>
      </c>
      <c r="O164" t="n" s="7">
        <v>44196.0</v>
      </c>
      <c r="P164" t="s" s="1">
        <v>3499</v>
      </c>
    </row>
    <row r="165" spans="1:16">
      <c r="A165" t="n" s="4">
        <v>160</v>
      </c>
      <c r="B165" s="2">
        <f>HYPERLINK("https://my.zakupki.prom.ua/remote/dispatcher/state_purchase_view/16408279", "UA-2020-04-17-009466-b")</f>
        <v/>
      </c>
      <c r="C165" t="s" s="2">
        <v>3245</v>
      </c>
      <c r="D165" s="2">
        <f>HYPERLINK("https://my.zakupki.prom.ua/remote/dispatcher/state_contracting_view/4159496", "UA-2020-04-17-009466-b-b1")</f>
        <v/>
      </c>
      <c r="E165" t="s" s="1">
        <v>1934</v>
      </c>
      <c r="F165" t="s" s="1">
        <v>667</v>
      </c>
      <c r="G165" t="s" s="1">
        <v>3339</v>
      </c>
      <c r="H165" t="s" s="1">
        <v>666</v>
      </c>
      <c r="I165" t="s" s="1">
        <v>2361</v>
      </c>
      <c r="J165" t="s" s="1">
        <v>2292</v>
      </c>
      <c r="K165" t="s" s="1">
        <v>545</v>
      </c>
      <c r="L165" t="s" s="1">
        <v>168</v>
      </c>
      <c r="M165" t="n" s="5">
        <v>3635.0</v>
      </c>
      <c r="N165" t="n" s="7">
        <v>43938.0</v>
      </c>
      <c r="O165" t="n" s="7">
        <v>44196.0</v>
      </c>
      <c r="P165" t="s" s="1">
        <v>3499</v>
      </c>
    </row>
    <row r="166" spans="1:16">
      <c r="A166" t="n" s="4">
        <v>161</v>
      </c>
      <c r="B166" s="2">
        <f>HYPERLINK("https://my.zakupki.prom.ua/remote/dispatcher/state_purchase_view/17235370", "UA-2020-06-15-002746-c")</f>
        <v/>
      </c>
      <c r="C166" t="s" s="2">
        <v>3245</v>
      </c>
      <c r="D166" s="2">
        <f>HYPERLINK("https://my.zakupki.prom.ua/remote/dispatcher/state_contracting_view/4530803", "UA-2020-06-15-002746-c-c1")</f>
        <v/>
      </c>
      <c r="E166" t="s" s="1">
        <v>1960</v>
      </c>
      <c r="F166" t="s" s="1">
        <v>2455</v>
      </c>
      <c r="G166" t="s" s="1">
        <v>2348</v>
      </c>
      <c r="H166" t="s" s="1">
        <v>718</v>
      </c>
      <c r="I166" t="s" s="1">
        <v>2361</v>
      </c>
      <c r="J166" t="s" s="1">
        <v>3402</v>
      </c>
      <c r="K166" t="s" s="1">
        <v>375</v>
      </c>
      <c r="L166" t="s" s="1">
        <v>354</v>
      </c>
      <c r="M166" t="n" s="5">
        <v>18565.8</v>
      </c>
      <c r="N166" t="n" s="7">
        <v>43997.0</v>
      </c>
      <c r="O166" t="n" s="7">
        <v>44196.0</v>
      </c>
      <c r="P166" t="s" s="1">
        <v>3499</v>
      </c>
    </row>
    <row r="167" spans="1:16">
      <c r="A167" t="n" s="4">
        <v>162</v>
      </c>
      <c r="B167" s="2">
        <f>HYPERLINK("https://my.zakupki.prom.ua/remote/dispatcher/state_purchase_view/17727352", "UA-2020-07-08-002850-c")</f>
        <v/>
      </c>
      <c r="C167" t="s" s="2">
        <v>3245</v>
      </c>
      <c r="D167" s="2">
        <f>HYPERLINK("https://my.zakupki.prom.ua/remote/dispatcher/state_contracting_view/4758824", "UA-2020-07-08-002850-c-c1")</f>
        <v/>
      </c>
      <c r="E167" t="s" s="1">
        <v>1733</v>
      </c>
      <c r="F167" t="s" s="1">
        <v>2401</v>
      </c>
      <c r="G167" t="s" s="1">
        <v>2402</v>
      </c>
      <c r="H167" t="s" s="1">
        <v>727</v>
      </c>
      <c r="I167" t="s" s="1">
        <v>2361</v>
      </c>
      <c r="J167" t="s" s="1">
        <v>3221</v>
      </c>
      <c r="K167" t="s" s="1">
        <v>296</v>
      </c>
      <c r="L167" t="s" s="1">
        <v>538</v>
      </c>
      <c r="M167" t="n" s="5">
        <v>10644.8</v>
      </c>
      <c r="N167" t="n" s="7">
        <v>44020.0</v>
      </c>
      <c r="O167" t="n" s="7">
        <v>44196.0</v>
      </c>
      <c r="P167" t="s" s="1">
        <v>3499</v>
      </c>
    </row>
    <row r="168" spans="1:16">
      <c r="A168" t="n" s="4">
        <v>163</v>
      </c>
      <c r="B168" s="2">
        <f>HYPERLINK("https://my.zakupki.prom.ua/remote/dispatcher/state_purchase_view/17670887", "UA-2020-07-06-003420-a")</f>
        <v/>
      </c>
      <c r="C168" t="s" s="2">
        <v>3245</v>
      </c>
      <c r="D168" s="2">
        <f>HYPERLINK("https://my.zakupki.prom.ua/remote/dispatcher/state_contracting_view/4732666", "UA-2020-07-06-003420-a-a1")</f>
        <v/>
      </c>
      <c r="E168" t="s" s="1">
        <v>1262</v>
      </c>
      <c r="F168" t="s" s="1">
        <v>2689</v>
      </c>
      <c r="G168" t="s" s="1">
        <v>2689</v>
      </c>
      <c r="H168" t="s" s="1">
        <v>590</v>
      </c>
      <c r="I168" t="s" s="1">
        <v>2361</v>
      </c>
      <c r="J168" t="s" s="1">
        <v>3384</v>
      </c>
      <c r="K168" t="s" s="1">
        <v>930</v>
      </c>
      <c r="L168" t="s" s="1">
        <v>497</v>
      </c>
      <c r="M168" t="n" s="5">
        <v>2615.0</v>
      </c>
      <c r="N168" t="n" s="7">
        <v>44018.0</v>
      </c>
      <c r="O168" t="n" s="7">
        <v>44196.0</v>
      </c>
      <c r="P168" t="s" s="1">
        <v>3499</v>
      </c>
    </row>
    <row r="169" spans="1:16">
      <c r="A169" t="n" s="4">
        <v>164</v>
      </c>
      <c r="B169" s="2">
        <f>HYPERLINK("https://my.zakupki.prom.ua/remote/dispatcher/state_purchase_view/18848444", "UA-2020-08-28-001009-c")</f>
        <v/>
      </c>
      <c r="C169" t="s" s="2">
        <v>3245</v>
      </c>
      <c r="D169" s="2">
        <f>HYPERLINK("https://my.zakupki.prom.ua/remote/dispatcher/state_contracting_view/5285481", "UA-2020-08-28-001009-c-c1")</f>
        <v/>
      </c>
      <c r="E169" t="s" s="1">
        <v>1572</v>
      </c>
      <c r="F169" t="s" s="1">
        <v>2882</v>
      </c>
      <c r="G169" t="s" s="1">
        <v>2882</v>
      </c>
      <c r="H169" t="s" s="1">
        <v>718</v>
      </c>
      <c r="I169" t="s" s="1">
        <v>2361</v>
      </c>
      <c r="J169" t="s" s="1">
        <v>3392</v>
      </c>
      <c r="K169" t="s" s="1">
        <v>428</v>
      </c>
      <c r="L169" t="s" s="1">
        <v>1194</v>
      </c>
      <c r="M169" t="n" s="5">
        <v>94.03</v>
      </c>
      <c r="N169" t="n" s="7">
        <v>44070.0</v>
      </c>
      <c r="O169" t="n" s="7">
        <v>44196.0</v>
      </c>
      <c r="P169" t="s" s="1">
        <v>3499</v>
      </c>
    </row>
    <row r="170" spans="1:16">
      <c r="A170" t="n" s="4">
        <v>165</v>
      </c>
      <c r="B170" s="2">
        <f>HYPERLINK("https://my.zakupki.prom.ua/remote/dispatcher/state_purchase_view/17982144", "UA-2020-07-20-004753-b")</f>
        <v/>
      </c>
      <c r="C170" t="s" s="2">
        <v>3245</v>
      </c>
      <c r="D170" s="2">
        <f>HYPERLINK("https://my.zakupki.prom.ua/remote/dispatcher/state_contracting_view/4877473", "UA-2020-07-20-004753-b-b1")</f>
        <v/>
      </c>
      <c r="E170" t="s" s="1">
        <v>945</v>
      </c>
      <c r="F170" t="s" s="1">
        <v>2796</v>
      </c>
      <c r="G170" t="s" s="1">
        <v>2796</v>
      </c>
      <c r="H170" t="s" s="1">
        <v>690</v>
      </c>
      <c r="I170" t="s" s="1">
        <v>2361</v>
      </c>
      <c r="J170" t="s" s="1">
        <v>3402</v>
      </c>
      <c r="K170" t="s" s="1">
        <v>375</v>
      </c>
      <c r="L170" t="s" s="1">
        <v>398</v>
      </c>
      <c r="M170" t="n" s="5">
        <v>30260.0</v>
      </c>
      <c r="N170" t="n" s="7">
        <v>44032.0</v>
      </c>
      <c r="O170" t="n" s="7">
        <v>44196.0</v>
      </c>
      <c r="P170" t="s" s="1">
        <v>3499</v>
      </c>
    </row>
    <row r="171" spans="1:16">
      <c r="A171" t="n" s="4">
        <v>166</v>
      </c>
      <c r="B171" s="2">
        <f>HYPERLINK("https://my.zakupki.prom.ua/remote/dispatcher/state_purchase_view/18981684", "UA-2020-09-03-004844-b")</f>
        <v/>
      </c>
      <c r="C171" t="s" s="2">
        <v>3245</v>
      </c>
      <c r="D171" s="2">
        <f>HYPERLINK("https://my.zakupki.prom.ua/remote/dispatcher/state_contracting_view/5347167", "UA-2020-09-03-004844-b-b1")</f>
        <v/>
      </c>
      <c r="E171" t="s" s="1">
        <v>188</v>
      </c>
      <c r="F171" t="s" s="1">
        <v>2577</v>
      </c>
      <c r="G171" t="s" s="1">
        <v>2577</v>
      </c>
      <c r="H171" t="s" s="1">
        <v>219</v>
      </c>
      <c r="I171" t="s" s="1">
        <v>2361</v>
      </c>
      <c r="J171" t="s" s="1">
        <v>3467</v>
      </c>
      <c r="K171" t="s" s="1">
        <v>766</v>
      </c>
      <c r="L171" t="s" s="1">
        <v>1210</v>
      </c>
      <c r="M171" t="n" s="5">
        <v>7090.0</v>
      </c>
      <c r="N171" t="n" s="7">
        <v>44075.0</v>
      </c>
      <c r="O171" t="n" s="7">
        <v>44196.0</v>
      </c>
      <c r="P171" t="s" s="1">
        <v>3499</v>
      </c>
    </row>
    <row r="172" spans="1:16">
      <c r="A172" t="n" s="4">
        <v>167</v>
      </c>
      <c r="B172" s="2">
        <f>HYPERLINK("https://my.zakupki.prom.ua/remote/dispatcher/state_purchase_view/18983590", "UA-2020-09-03-005412-b")</f>
        <v/>
      </c>
      <c r="C172" t="s" s="2">
        <v>3245</v>
      </c>
      <c r="D172" s="2">
        <f>HYPERLINK("https://my.zakupki.prom.ua/remote/dispatcher/state_contracting_view/5348349", "UA-2020-09-03-005412-b-b1")</f>
        <v/>
      </c>
      <c r="E172" t="s" s="1">
        <v>847</v>
      </c>
      <c r="F172" t="s" s="1">
        <v>2547</v>
      </c>
      <c r="G172" t="s" s="1">
        <v>2547</v>
      </c>
      <c r="H172" t="s" s="1">
        <v>209</v>
      </c>
      <c r="I172" t="s" s="1">
        <v>2361</v>
      </c>
      <c r="J172" t="s" s="1">
        <v>3467</v>
      </c>
      <c r="K172" t="s" s="1">
        <v>766</v>
      </c>
      <c r="L172" t="s" s="1">
        <v>1214</v>
      </c>
      <c r="M172" t="n" s="5">
        <v>3995.0</v>
      </c>
      <c r="N172" t="n" s="7">
        <v>44075.0</v>
      </c>
      <c r="O172" t="n" s="7">
        <v>44196.0</v>
      </c>
      <c r="P172" t="s" s="1">
        <v>3499</v>
      </c>
    </row>
    <row r="173" spans="1:16">
      <c r="A173" t="n" s="4">
        <v>168</v>
      </c>
      <c r="B173" s="2">
        <f>HYPERLINK("https://my.zakupki.prom.ua/remote/dispatcher/state_purchase_view/19047007", "UA-2020-09-07-002529-b")</f>
        <v/>
      </c>
      <c r="C173" t="s" s="2">
        <v>3245</v>
      </c>
      <c r="D173" s="2">
        <f>HYPERLINK("https://my.zakupki.prom.ua/remote/dispatcher/state_contracting_view/5378162", "UA-2020-09-07-002529-b-b1")</f>
        <v/>
      </c>
      <c r="E173" t="s" s="1">
        <v>2117</v>
      </c>
      <c r="F173" t="s" s="1">
        <v>2731</v>
      </c>
      <c r="G173" t="s" s="1">
        <v>2731</v>
      </c>
      <c r="H173" t="s" s="1">
        <v>688</v>
      </c>
      <c r="I173" t="s" s="1">
        <v>2361</v>
      </c>
      <c r="J173" t="s" s="1">
        <v>3394</v>
      </c>
      <c r="K173" t="s" s="1">
        <v>939</v>
      </c>
      <c r="L173" t="s" s="1">
        <v>64</v>
      </c>
      <c r="M173" t="n" s="5">
        <v>49990.0</v>
      </c>
      <c r="N173" t="n" s="7">
        <v>44081.0</v>
      </c>
      <c r="O173" t="n" s="7">
        <v>44196.0</v>
      </c>
      <c r="P173" t="s" s="1">
        <v>3499</v>
      </c>
    </row>
    <row r="174" spans="1:16">
      <c r="A174" t="n" s="4">
        <v>169</v>
      </c>
      <c r="B174" s="2">
        <f>HYPERLINK("https://my.zakupki.prom.ua/remote/dispatcher/state_purchase_view/19696698", "UA-2020-09-29-007130-a")</f>
        <v/>
      </c>
      <c r="C174" t="s" s="2">
        <v>3245</v>
      </c>
      <c r="D174" s="2">
        <f>HYPERLINK("https://my.zakupki.prom.ua/remote/dispatcher/state_contracting_view/5686819", "UA-2020-09-29-007130-a-a1")</f>
        <v/>
      </c>
      <c r="E174" t="s" s="1">
        <v>469</v>
      </c>
      <c r="F174" t="s" s="1">
        <v>2582</v>
      </c>
      <c r="G174" t="s" s="1">
        <v>2582</v>
      </c>
      <c r="H174" t="s" s="1">
        <v>219</v>
      </c>
      <c r="I174" t="s" s="1">
        <v>2361</v>
      </c>
      <c r="J174" t="s" s="1">
        <v>3467</v>
      </c>
      <c r="K174" t="s" s="1">
        <v>766</v>
      </c>
      <c r="L174" t="s" s="1">
        <v>1411</v>
      </c>
      <c r="M174" t="n" s="5">
        <v>6120.0</v>
      </c>
      <c r="N174" t="n" s="7">
        <v>44102.0</v>
      </c>
      <c r="O174" t="n" s="7">
        <v>44196.0</v>
      </c>
      <c r="P174" t="s" s="1">
        <v>3499</v>
      </c>
    </row>
    <row r="175" spans="1:16">
      <c r="A175" t="n" s="4">
        <v>170</v>
      </c>
      <c r="B175" s="2">
        <f>HYPERLINK("https://my.zakupki.prom.ua/remote/dispatcher/state_purchase_view/19693905", "UA-2020-09-29-006306-a")</f>
        <v/>
      </c>
      <c r="C175" t="s" s="2">
        <v>3245</v>
      </c>
      <c r="D175" s="2">
        <f>HYPERLINK("https://my.zakupki.prom.ua/remote/dispatcher/state_contracting_view/5685311", "UA-2020-09-29-006306-a-a1")</f>
        <v/>
      </c>
      <c r="E175" t="s" s="1">
        <v>1301</v>
      </c>
      <c r="F175" t="s" s="1">
        <v>2504</v>
      </c>
      <c r="G175" t="s" s="1">
        <v>2504</v>
      </c>
      <c r="H175" t="s" s="1">
        <v>38</v>
      </c>
      <c r="I175" t="s" s="1">
        <v>2361</v>
      </c>
      <c r="J175" t="s" s="1">
        <v>3467</v>
      </c>
      <c r="K175" t="s" s="1">
        <v>766</v>
      </c>
      <c r="L175" t="s" s="1">
        <v>1401</v>
      </c>
      <c r="M175" t="n" s="5">
        <v>1584.0</v>
      </c>
      <c r="N175" t="n" s="7">
        <v>44102.0</v>
      </c>
      <c r="O175" t="n" s="7">
        <v>44196.0</v>
      </c>
      <c r="P175" t="s" s="1">
        <v>3499</v>
      </c>
    </row>
    <row r="176" spans="1:16">
      <c r="A176" t="n" s="4">
        <v>171</v>
      </c>
      <c r="B176" s="2">
        <f>HYPERLINK("https://my.zakupki.prom.ua/remote/dispatcher/state_purchase_view/19696153", "UA-2020-09-29-006982-a")</f>
        <v/>
      </c>
      <c r="C176" t="s" s="2">
        <v>3245</v>
      </c>
      <c r="D176" s="2">
        <f>HYPERLINK("https://my.zakupki.prom.ua/remote/dispatcher/state_contracting_view/5686480", "UA-2020-09-29-006982-a-a1")</f>
        <v/>
      </c>
      <c r="E176" t="s" s="1">
        <v>1418</v>
      </c>
      <c r="F176" t="s" s="1">
        <v>2545</v>
      </c>
      <c r="G176" t="s" s="1">
        <v>2545</v>
      </c>
      <c r="H176" t="s" s="1">
        <v>207</v>
      </c>
      <c r="I176" t="s" s="1">
        <v>2361</v>
      </c>
      <c r="J176" t="s" s="1">
        <v>3467</v>
      </c>
      <c r="K176" t="s" s="1">
        <v>766</v>
      </c>
      <c r="L176" t="s" s="1">
        <v>1410</v>
      </c>
      <c r="M176" t="n" s="5">
        <v>8798.0</v>
      </c>
      <c r="N176" t="n" s="7">
        <v>44102.0</v>
      </c>
      <c r="O176" t="n" s="7">
        <v>44196.0</v>
      </c>
      <c r="P176" t="s" s="1">
        <v>3499</v>
      </c>
    </row>
    <row r="177" spans="1:16">
      <c r="A177" t="n" s="4">
        <v>172</v>
      </c>
      <c r="B177" s="2">
        <f>HYPERLINK("https://my.zakupki.prom.ua/remote/dispatcher/state_purchase_view/19924938", "UA-2020-10-08-000151-a")</f>
        <v/>
      </c>
      <c r="C177" t="s" s="2">
        <v>3245</v>
      </c>
      <c r="D177" s="2">
        <f>HYPERLINK("https://my.zakupki.prom.ua/remote/dispatcher/state_contracting_view/5792257", "UA-2020-10-08-000151-a-a1")</f>
        <v/>
      </c>
      <c r="E177" t="s" s="1">
        <v>564</v>
      </c>
      <c r="F177" t="s" s="1">
        <v>2925</v>
      </c>
      <c r="G177" t="s" s="1">
        <v>3562</v>
      </c>
      <c r="H177" t="s" s="1">
        <v>718</v>
      </c>
      <c r="I177" t="s" s="1">
        <v>2361</v>
      </c>
      <c r="J177" t="s" s="1">
        <v>3392</v>
      </c>
      <c r="K177" t="s" s="1">
        <v>428</v>
      </c>
      <c r="L177" t="s" s="1">
        <v>1482</v>
      </c>
      <c r="M177" t="n" s="5">
        <v>31480.63</v>
      </c>
      <c r="N177" t="n" s="7">
        <v>44112.0</v>
      </c>
      <c r="O177" t="n" s="7">
        <v>44196.0</v>
      </c>
      <c r="P177" t="s" s="1">
        <v>3499</v>
      </c>
    </row>
    <row r="178" spans="1:16">
      <c r="A178" t="n" s="4">
        <v>173</v>
      </c>
      <c r="B178" s="2">
        <f>HYPERLINK("https://my.zakupki.prom.ua/remote/dispatcher/state_purchase_view/19100994", "UA-2020-09-08-007352-b")</f>
        <v/>
      </c>
      <c r="C178" t="s" s="2">
        <v>3245</v>
      </c>
      <c r="D178" s="2">
        <f>HYPERLINK("https://my.zakupki.prom.ua/remote/dispatcher/state_contracting_view/5840725", "UA-2020-09-08-007352-b-a1")</f>
        <v/>
      </c>
      <c r="E178" t="s" s="1">
        <v>1879</v>
      </c>
      <c r="F178" t="s" s="1">
        <v>3092</v>
      </c>
      <c r="G178" t="s" s="1">
        <v>3093</v>
      </c>
      <c r="H178" t="s" s="1">
        <v>1051</v>
      </c>
      <c r="I178" t="s" s="1">
        <v>3353</v>
      </c>
      <c r="J178" t="s" s="1">
        <v>3425</v>
      </c>
      <c r="K178" t="s" s="1">
        <v>835</v>
      </c>
      <c r="L178" t="s" s="1">
        <v>1515</v>
      </c>
      <c r="M178" t="n" s="5">
        <v>264999.0</v>
      </c>
      <c r="N178" t="n" s="7">
        <v>44116.0</v>
      </c>
      <c r="O178" t="n" s="7">
        <v>44196.0</v>
      </c>
      <c r="P178" t="s" s="1">
        <v>3499</v>
      </c>
    </row>
    <row r="179" spans="1:16">
      <c r="A179" t="n" s="4">
        <v>174</v>
      </c>
      <c r="B179" s="2">
        <f>HYPERLINK("https://my.zakupki.prom.ua/remote/dispatcher/state_purchase_view/20259691", "UA-2020-10-20-006470-c")</f>
        <v/>
      </c>
      <c r="C179" t="s" s="2">
        <v>3245</v>
      </c>
      <c r="D179" s="2">
        <f>HYPERLINK("https://my.zakupki.prom.ua/remote/dispatcher/state_contracting_view/5956965", "UA-2020-10-20-006470-c-c1")</f>
        <v/>
      </c>
      <c r="E179" t="s" s="1">
        <v>1348</v>
      </c>
      <c r="F179" t="s" s="1">
        <v>2702</v>
      </c>
      <c r="G179" t="s" s="1">
        <v>2702</v>
      </c>
      <c r="H179" t="s" s="1">
        <v>603</v>
      </c>
      <c r="I179" t="s" s="1">
        <v>2361</v>
      </c>
      <c r="J179" t="s" s="1">
        <v>3384</v>
      </c>
      <c r="K179" t="s" s="1">
        <v>930</v>
      </c>
      <c r="L179" t="s" s="1">
        <v>104</v>
      </c>
      <c r="M179" t="n" s="5">
        <v>5290.0</v>
      </c>
      <c r="N179" t="n" s="7">
        <v>44124.0</v>
      </c>
      <c r="O179" t="n" s="7">
        <v>44196.0</v>
      </c>
      <c r="P179" t="s" s="1">
        <v>3499</v>
      </c>
    </row>
    <row r="180" spans="1:16">
      <c r="A180" t="n" s="4">
        <v>175</v>
      </c>
      <c r="B180" s="2">
        <f>HYPERLINK("https://my.zakupki.prom.ua/remote/dispatcher/state_purchase_view/20205523", "UA-2020-10-19-003058-c")</f>
        <v/>
      </c>
      <c r="C180" t="s" s="2">
        <v>3245</v>
      </c>
      <c r="D180" s="2">
        <f>HYPERLINK("https://my.zakupki.prom.ua/remote/dispatcher/state_contracting_view/5925432", "UA-2020-10-19-003058-c-c1")</f>
        <v/>
      </c>
      <c r="E180" t="s" s="1">
        <v>1123</v>
      </c>
      <c r="F180" t="s" s="1">
        <v>2547</v>
      </c>
      <c r="G180" t="s" s="1">
        <v>2547</v>
      </c>
      <c r="H180" t="s" s="1">
        <v>209</v>
      </c>
      <c r="I180" t="s" s="1">
        <v>2361</v>
      </c>
      <c r="J180" t="s" s="1">
        <v>3467</v>
      </c>
      <c r="K180" t="s" s="1">
        <v>766</v>
      </c>
      <c r="L180" t="s" s="1">
        <v>1537</v>
      </c>
      <c r="M180" t="n" s="5">
        <v>2385.0</v>
      </c>
      <c r="N180" t="n" s="7">
        <v>44120.0</v>
      </c>
      <c r="O180" t="n" s="7">
        <v>44196.0</v>
      </c>
      <c r="P180" t="s" s="1">
        <v>3499</v>
      </c>
    </row>
    <row r="181" spans="1:16">
      <c r="A181" t="n" s="4">
        <v>176</v>
      </c>
      <c r="B181" s="2">
        <f>HYPERLINK("https://my.zakupki.prom.ua/remote/dispatcher/state_purchase_view/20202293", "UA-2020-10-19-002231-c")</f>
        <v/>
      </c>
      <c r="C181" t="s" s="2">
        <v>3245</v>
      </c>
      <c r="D181" s="2">
        <f>HYPERLINK("https://my.zakupki.prom.ua/remote/dispatcher/state_contracting_view/5924195", "UA-2020-10-19-002231-c-c1")</f>
        <v/>
      </c>
      <c r="E181" t="s" s="1">
        <v>1116</v>
      </c>
      <c r="F181" t="s" s="1">
        <v>3037</v>
      </c>
      <c r="G181" t="s" s="1">
        <v>3037</v>
      </c>
      <c r="H181" t="s" s="1">
        <v>873</v>
      </c>
      <c r="I181" t="s" s="1">
        <v>2361</v>
      </c>
      <c r="J181" t="s" s="1">
        <v>3467</v>
      </c>
      <c r="K181" t="s" s="1">
        <v>766</v>
      </c>
      <c r="L181" t="s" s="1">
        <v>1534</v>
      </c>
      <c r="M181" t="n" s="5">
        <v>7937.45</v>
      </c>
      <c r="N181" t="n" s="7">
        <v>44120.0</v>
      </c>
      <c r="O181" t="n" s="7">
        <v>44196.0</v>
      </c>
      <c r="P181" t="s" s="1">
        <v>3499</v>
      </c>
    </row>
    <row r="182" spans="1:16">
      <c r="A182" t="n" s="4">
        <v>177</v>
      </c>
      <c r="B182" s="2">
        <f>HYPERLINK("https://my.zakupki.prom.ua/remote/dispatcher/state_purchase_view/20279744", "UA-2020-10-20-006702-a")</f>
        <v/>
      </c>
      <c r="C182" t="s" s="2">
        <v>3245</v>
      </c>
      <c r="D182" s="2">
        <f>HYPERLINK("https://my.zakupki.prom.ua/remote/dispatcher/state_contracting_view/5961039", "UA-2020-10-20-006702-a-a1")</f>
        <v/>
      </c>
      <c r="E182" t="s" s="1">
        <v>651</v>
      </c>
      <c r="F182" t="s" s="1">
        <v>2628</v>
      </c>
      <c r="G182" t="s" s="1">
        <v>2628</v>
      </c>
      <c r="H182" t="s" s="1">
        <v>225</v>
      </c>
      <c r="I182" t="s" s="1">
        <v>2361</v>
      </c>
      <c r="J182" t="s" s="1">
        <v>3467</v>
      </c>
      <c r="K182" t="s" s="1">
        <v>766</v>
      </c>
      <c r="L182" t="s" s="1">
        <v>1565</v>
      </c>
      <c r="M182" t="n" s="5">
        <v>4850.0</v>
      </c>
      <c r="N182" t="n" s="7">
        <v>44123.0</v>
      </c>
      <c r="O182" t="n" s="7">
        <v>44196.0</v>
      </c>
      <c r="P182" t="s" s="1">
        <v>3499</v>
      </c>
    </row>
    <row r="183" spans="1:16">
      <c r="A183" t="n" s="4">
        <v>178</v>
      </c>
      <c r="B183" s="2">
        <f>HYPERLINK("https://my.zakupki.prom.ua/remote/dispatcher/state_purchase_view/20532242", "UA-2020-10-28-000261-a")</f>
        <v/>
      </c>
      <c r="C183" t="s" s="2">
        <v>3245</v>
      </c>
      <c r="D183" s="2">
        <f>HYPERLINK("https://my.zakupki.prom.ua/remote/dispatcher/state_contracting_view/6086036", "UA-2020-10-28-000261-a-a1")</f>
        <v/>
      </c>
      <c r="E183" t="s" s="1">
        <v>2018</v>
      </c>
      <c r="F183" t="s" s="1">
        <v>2613</v>
      </c>
      <c r="G183" t="s" s="1">
        <v>2613</v>
      </c>
      <c r="H183" t="s" s="1">
        <v>225</v>
      </c>
      <c r="I183" t="s" s="1">
        <v>2361</v>
      </c>
      <c r="J183" t="s" s="1">
        <v>3467</v>
      </c>
      <c r="K183" t="s" s="1">
        <v>766</v>
      </c>
      <c r="L183" t="s" s="1">
        <v>1581</v>
      </c>
      <c r="M183" t="n" s="5">
        <v>6360.0</v>
      </c>
      <c r="N183" t="n" s="7">
        <v>44130.0</v>
      </c>
      <c r="O183" t="n" s="7">
        <v>44196.0</v>
      </c>
      <c r="P183" t="s" s="1">
        <v>3499</v>
      </c>
    </row>
    <row r="184" spans="1:16">
      <c r="A184" t="n" s="4">
        <v>179</v>
      </c>
      <c r="B184" s="2">
        <f>HYPERLINK("https://my.zakupki.prom.ua/remote/dispatcher/state_purchase_view/20595054", "UA-2020-10-29-005989-c")</f>
        <v/>
      </c>
      <c r="C184" t="s" s="2">
        <v>3245</v>
      </c>
      <c r="D184" s="2">
        <f>HYPERLINK("https://my.zakupki.prom.ua/remote/dispatcher/state_contracting_view/6115844", "UA-2020-10-29-005989-c-c1")</f>
        <v/>
      </c>
      <c r="E184" t="s" s="1">
        <v>1196</v>
      </c>
      <c r="F184" t="s" s="1">
        <v>2726</v>
      </c>
      <c r="G184" t="s" s="1">
        <v>2726</v>
      </c>
      <c r="H184" t="s" s="1">
        <v>642</v>
      </c>
      <c r="I184" t="s" s="1">
        <v>2361</v>
      </c>
      <c r="J184" t="s" s="1">
        <v>3251</v>
      </c>
      <c r="K184" t="s" s="1">
        <v>486</v>
      </c>
      <c r="L184" t="s" s="1">
        <v>3267</v>
      </c>
      <c r="M184" t="n" s="5">
        <v>6900.0</v>
      </c>
      <c r="N184" t="n" s="7">
        <v>44133.0</v>
      </c>
      <c r="O184" t="n" s="7">
        <v>44196.0</v>
      </c>
      <c r="P184" t="s" s="1">
        <v>3499</v>
      </c>
    </row>
    <row r="185" spans="1:16">
      <c r="A185" t="n" s="4">
        <v>180</v>
      </c>
      <c r="B185" s="2">
        <f>HYPERLINK("https://my.zakupki.prom.ua/remote/dispatcher/state_purchase_view/20576984", "UA-2020-10-29-001199-c")</f>
        <v/>
      </c>
      <c r="C185" t="s" s="2">
        <v>3245</v>
      </c>
      <c r="D185" s="2">
        <f>HYPERLINK("https://my.zakupki.prom.ua/remote/dispatcher/state_contracting_view/6109656", "UA-2020-10-29-001199-c-c1")</f>
        <v/>
      </c>
      <c r="E185" t="s" s="1">
        <v>408</v>
      </c>
      <c r="F185" t="s" s="1">
        <v>2724</v>
      </c>
      <c r="G185" t="s" s="1">
        <v>2724</v>
      </c>
      <c r="H185" t="s" s="1">
        <v>641</v>
      </c>
      <c r="I185" t="s" s="1">
        <v>2361</v>
      </c>
      <c r="J185" t="s" s="1">
        <v>3251</v>
      </c>
      <c r="K185" t="s" s="1">
        <v>486</v>
      </c>
      <c r="L185" t="s" s="1">
        <v>3280</v>
      </c>
      <c r="M185" t="n" s="5">
        <v>483.0</v>
      </c>
      <c r="N185" t="n" s="7">
        <v>44133.0</v>
      </c>
      <c r="O185" t="n" s="7">
        <v>44196.0</v>
      </c>
      <c r="P185" t="s" s="1">
        <v>3499</v>
      </c>
    </row>
    <row r="186" spans="1:16">
      <c r="A186" t="n" s="4">
        <v>181</v>
      </c>
      <c r="B186" s="2">
        <f>HYPERLINK("https://my.zakupki.prom.ua/remote/dispatcher/state_purchase_view/20881548", "UA-2020-11-09-002804-c")</f>
        <v/>
      </c>
      <c r="C186" t="s" s="2">
        <v>3245</v>
      </c>
      <c r="D186" s="2">
        <f>HYPERLINK("https://my.zakupki.prom.ua/remote/dispatcher/state_contracting_view/6251699", "UA-2020-11-09-002804-c-c1")</f>
        <v/>
      </c>
      <c r="E186" t="s" s="1">
        <v>1432</v>
      </c>
      <c r="F186" t="s" s="1">
        <v>2536</v>
      </c>
      <c r="G186" t="s" s="1">
        <v>2536</v>
      </c>
      <c r="H186" t="s" s="1">
        <v>201</v>
      </c>
      <c r="I186" t="s" s="1">
        <v>2361</v>
      </c>
      <c r="J186" t="s" s="1">
        <v>3251</v>
      </c>
      <c r="K186" t="s" s="1">
        <v>486</v>
      </c>
      <c r="L186" t="s" s="1">
        <v>3286</v>
      </c>
      <c r="M186" t="n" s="5">
        <v>64.4</v>
      </c>
      <c r="N186" t="n" s="7">
        <v>44144.0</v>
      </c>
      <c r="O186" t="n" s="7">
        <v>44196.0</v>
      </c>
      <c r="P186" t="s" s="1">
        <v>3499</v>
      </c>
    </row>
    <row r="187" spans="1:16">
      <c r="A187" t="n" s="4">
        <v>182</v>
      </c>
      <c r="B187" s="2">
        <f>HYPERLINK("https://my.zakupki.prom.ua/remote/dispatcher/state_purchase_view/18262399", "UA-2020-08-03-001059-a")</f>
        <v/>
      </c>
      <c r="C187" t="s" s="2">
        <v>3245</v>
      </c>
      <c r="D187" s="2">
        <f>HYPERLINK("https://my.zakupki.prom.ua/remote/dispatcher/state_contracting_view/5076685", "UA-2020-08-03-001059-a-a1")</f>
        <v/>
      </c>
      <c r="E187" t="s" s="1">
        <v>1944</v>
      </c>
      <c r="F187" t="s" s="1">
        <v>2825</v>
      </c>
      <c r="G187" t="s" s="1">
        <v>2824</v>
      </c>
      <c r="H187" t="s" s="1">
        <v>703</v>
      </c>
      <c r="I187" t="s" s="1">
        <v>3313</v>
      </c>
      <c r="J187" t="s" s="1">
        <v>3392</v>
      </c>
      <c r="K187" t="s" s="1">
        <v>428</v>
      </c>
      <c r="L187" t="s" s="1">
        <v>987</v>
      </c>
      <c r="M187" t="n" s="5">
        <v>18204.48</v>
      </c>
      <c r="N187" t="n" s="7">
        <v>44053.0</v>
      </c>
      <c r="O187" t="n" s="7">
        <v>44196.0</v>
      </c>
      <c r="P187" t="s" s="1">
        <v>3499</v>
      </c>
    </row>
    <row r="188" spans="1:16">
      <c r="A188" t="n" s="4">
        <v>183</v>
      </c>
      <c r="B188" s="2">
        <f>HYPERLINK("https://my.zakupki.prom.ua/remote/dispatcher/state_purchase_view/18462094", "UA-2020-08-11-005895-a")</f>
        <v/>
      </c>
      <c r="C188" t="s" s="2">
        <v>3245</v>
      </c>
      <c r="D188" s="2">
        <f>HYPERLINK("https://my.zakupki.prom.ua/remote/dispatcher/state_contracting_view/5153582", "UA-2020-08-11-005895-a-a1")</f>
        <v/>
      </c>
      <c r="E188" t="s" s="1">
        <v>495</v>
      </c>
      <c r="F188" t="s" s="1">
        <v>2924</v>
      </c>
      <c r="G188" t="s" s="1">
        <v>3491</v>
      </c>
      <c r="H188" t="s" s="1">
        <v>718</v>
      </c>
      <c r="I188" t="s" s="1">
        <v>3313</v>
      </c>
      <c r="J188" t="s" s="1">
        <v>3392</v>
      </c>
      <c r="K188" t="s" s="1">
        <v>428</v>
      </c>
      <c r="L188" t="s" s="1">
        <v>1079</v>
      </c>
      <c r="M188" t="n" s="5">
        <v>10265.56</v>
      </c>
      <c r="N188" t="n" s="7">
        <v>44060.0</v>
      </c>
      <c r="O188" t="n" s="7">
        <v>44196.0</v>
      </c>
      <c r="P188" t="s" s="1">
        <v>3499</v>
      </c>
    </row>
    <row r="189" spans="1:16">
      <c r="A189" t="n" s="4">
        <v>184</v>
      </c>
      <c r="B189" s="2">
        <f>HYPERLINK("https://my.zakupki.prom.ua/remote/dispatcher/state_purchase_view/18456053", "UA-2020-08-11-004231-a")</f>
        <v/>
      </c>
      <c r="C189" t="s" s="2">
        <v>3245</v>
      </c>
      <c r="D189" s="2">
        <f>HYPERLINK("https://my.zakupki.prom.ua/remote/dispatcher/state_contracting_view/5153615", "UA-2020-08-11-004231-a-a1")</f>
        <v/>
      </c>
      <c r="E189" t="s" s="1">
        <v>2138</v>
      </c>
      <c r="F189" t="s" s="1">
        <v>2793</v>
      </c>
      <c r="G189" t="s" s="1">
        <v>2793</v>
      </c>
      <c r="H189" t="s" s="1">
        <v>690</v>
      </c>
      <c r="I189" t="s" s="1">
        <v>3313</v>
      </c>
      <c r="J189" t="s" s="1">
        <v>3392</v>
      </c>
      <c r="K189" t="s" s="1">
        <v>428</v>
      </c>
      <c r="L189" t="s" s="1">
        <v>1083</v>
      </c>
      <c r="M189" t="n" s="5">
        <v>23130.83</v>
      </c>
      <c r="N189" t="n" s="7">
        <v>44060.0</v>
      </c>
      <c r="O189" t="n" s="7">
        <v>44196.0</v>
      </c>
      <c r="P189" t="s" s="1">
        <v>3499</v>
      </c>
    </row>
    <row r="190" spans="1:16">
      <c r="A190" t="n" s="4">
        <v>185</v>
      </c>
      <c r="B190" s="2">
        <f>HYPERLINK("https://my.zakupki.prom.ua/remote/dispatcher/state_purchase_view/18644055", "UA-2020-08-19-000656-a")</f>
        <v/>
      </c>
      <c r="C190" t="s" s="2">
        <v>3245</v>
      </c>
      <c r="D190" s="2">
        <f>HYPERLINK("https://my.zakupki.prom.ua/remote/dispatcher/state_contracting_view/5186451", "UA-2020-08-19-000656-a-a1")</f>
        <v/>
      </c>
      <c r="E190" t="s" s="1">
        <v>1857</v>
      </c>
      <c r="F190" t="s" s="1">
        <v>2619</v>
      </c>
      <c r="G190" t="s" s="1">
        <v>2619</v>
      </c>
      <c r="H190" t="s" s="1">
        <v>225</v>
      </c>
      <c r="I190" t="s" s="1">
        <v>2361</v>
      </c>
      <c r="J190" t="s" s="1">
        <v>3467</v>
      </c>
      <c r="K190" t="s" s="1">
        <v>766</v>
      </c>
      <c r="L190" t="s" s="1">
        <v>1103</v>
      </c>
      <c r="M190" t="n" s="5">
        <v>6220.0</v>
      </c>
      <c r="N190" t="n" s="7">
        <v>44060.0</v>
      </c>
      <c r="O190" t="n" s="7">
        <v>44196.0</v>
      </c>
      <c r="P190" t="s" s="1">
        <v>3499</v>
      </c>
    </row>
    <row r="191" spans="1:16">
      <c r="A191" t="n" s="4">
        <v>186</v>
      </c>
      <c r="B191" s="2">
        <f>HYPERLINK("https://my.zakupki.prom.ua/remote/dispatcher/state_purchase_view/18651821", "UA-2020-08-19-002908-a")</f>
        <v/>
      </c>
      <c r="C191" t="s" s="2">
        <v>3245</v>
      </c>
      <c r="D191" s="2">
        <f>HYPERLINK("https://my.zakupki.prom.ua/remote/dispatcher/state_contracting_view/5190243", "UA-2020-08-19-002908-a-a1")</f>
        <v/>
      </c>
      <c r="E191" t="s" s="1">
        <v>86</v>
      </c>
      <c r="F191" t="s" s="1">
        <v>2691</v>
      </c>
      <c r="G191" t="s" s="1">
        <v>2691</v>
      </c>
      <c r="H191" t="s" s="1">
        <v>594</v>
      </c>
      <c r="I191" t="s" s="1">
        <v>2361</v>
      </c>
      <c r="J191" t="s" s="1">
        <v>3467</v>
      </c>
      <c r="K191" t="s" s="1">
        <v>766</v>
      </c>
      <c r="L191" t="s" s="1">
        <v>1156</v>
      </c>
      <c r="M191" t="n" s="5">
        <v>670.8</v>
      </c>
      <c r="N191" t="n" s="7">
        <v>44060.0</v>
      </c>
      <c r="O191" t="n" s="7">
        <v>44196.0</v>
      </c>
      <c r="P191" t="s" s="1">
        <v>3499</v>
      </c>
    </row>
    <row r="192" spans="1:16">
      <c r="A192" t="n" s="4">
        <v>187</v>
      </c>
      <c r="B192" s="2">
        <f>HYPERLINK("https://my.zakupki.prom.ua/remote/dispatcher/state_purchase_view/18618069", "UA-2020-08-18-002964-a")</f>
        <v/>
      </c>
      <c r="C192" t="s" s="2">
        <v>3245</v>
      </c>
      <c r="D192" s="2">
        <f>HYPERLINK("https://my.zakupki.prom.ua/remote/dispatcher/state_contracting_view/5174203", "UA-2020-08-18-002964-a-a1")</f>
        <v/>
      </c>
      <c r="E192" t="s" s="1">
        <v>2124</v>
      </c>
      <c r="F192" t="s" s="1">
        <v>2922</v>
      </c>
      <c r="G192" t="s" s="1">
        <v>3557</v>
      </c>
      <c r="H192" t="s" s="1">
        <v>718</v>
      </c>
      <c r="I192" t="s" s="1">
        <v>2361</v>
      </c>
      <c r="J192" t="s" s="1">
        <v>3302</v>
      </c>
      <c r="K192" t="s" s="1">
        <v>617</v>
      </c>
      <c r="L192" t="s" s="1">
        <v>1513</v>
      </c>
      <c r="M192" t="n" s="5">
        <v>304622.6</v>
      </c>
      <c r="N192" t="n" s="7">
        <v>44061.0</v>
      </c>
      <c r="O192" t="n" s="7">
        <v>44196.0</v>
      </c>
      <c r="P192" t="s" s="1">
        <v>3499</v>
      </c>
    </row>
    <row r="193" spans="1:16">
      <c r="A193" t="n" s="4">
        <v>188</v>
      </c>
      <c r="B193" s="2">
        <f>HYPERLINK("https://my.zakupki.prom.ua/remote/dispatcher/state_purchase_view/19212040", "UA-2020-09-11-007913-b")</f>
        <v/>
      </c>
      <c r="C193" t="s" s="2">
        <v>3245</v>
      </c>
      <c r="D193" s="2">
        <f>HYPERLINK("https://my.zakupki.prom.ua/remote/dispatcher/state_contracting_view/5455897", "UA-2020-09-11-007913-b-b1")</f>
        <v/>
      </c>
      <c r="E193" t="s" s="1">
        <v>1933</v>
      </c>
      <c r="F193" t="s" s="1">
        <v>2634</v>
      </c>
      <c r="G193" t="s" s="1">
        <v>2634</v>
      </c>
      <c r="H193" t="s" s="1">
        <v>276</v>
      </c>
      <c r="I193" t="s" s="1">
        <v>2361</v>
      </c>
      <c r="J193" t="s" s="1">
        <v>3251</v>
      </c>
      <c r="K193" t="s" s="1">
        <v>486</v>
      </c>
      <c r="L193" t="s" s="1">
        <v>1273</v>
      </c>
      <c r="M193" t="n" s="5">
        <v>1130.8</v>
      </c>
      <c r="N193" t="n" s="7">
        <v>44085.0</v>
      </c>
      <c r="O193" t="n" s="7">
        <v>44196.0</v>
      </c>
      <c r="P193" t="s" s="1">
        <v>3499</v>
      </c>
    </row>
    <row r="194" spans="1:16">
      <c r="A194" t="n" s="4">
        <v>189</v>
      </c>
      <c r="B194" s="2">
        <f>HYPERLINK("https://my.zakupki.prom.ua/remote/dispatcher/state_purchase_view/19351865", "UA-2020-09-17-003008-a")</f>
        <v/>
      </c>
      <c r="C194" t="s" s="2">
        <v>3245</v>
      </c>
      <c r="D194" s="2">
        <f>HYPERLINK("https://my.zakupki.prom.ua/remote/dispatcher/state_contracting_view/5522801", "UA-2020-09-17-003008-a-a1")</f>
        <v/>
      </c>
      <c r="E194" t="s" s="1">
        <v>171</v>
      </c>
      <c r="F194" t="s" s="1">
        <v>2585</v>
      </c>
      <c r="G194" t="s" s="1">
        <v>2585</v>
      </c>
      <c r="H194" t="s" s="1">
        <v>219</v>
      </c>
      <c r="I194" t="s" s="1">
        <v>2361</v>
      </c>
      <c r="J194" t="s" s="1">
        <v>3467</v>
      </c>
      <c r="K194" t="s" s="1">
        <v>766</v>
      </c>
      <c r="L194" t="s" s="1">
        <v>1338</v>
      </c>
      <c r="M194" t="n" s="5">
        <v>10175.0</v>
      </c>
      <c r="N194" t="n" s="7">
        <v>44089.0</v>
      </c>
      <c r="O194" t="n" s="7">
        <v>44196.0</v>
      </c>
      <c r="P194" t="s" s="1">
        <v>3499</v>
      </c>
    </row>
    <row r="195" spans="1:16">
      <c r="A195" t="n" s="4">
        <v>190</v>
      </c>
      <c r="B195" s="2">
        <f>HYPERLINK("https://my.zakupki.prom.ua/remote/dispatcher/state_purchase_view/19424452", "UA-2020-09-21-000070-b")</f>
        <v/>
      </c>
      <c r="C195" t="s" s="2">
        <v>3245</v>
      </c>
      <c r="D195" s="2">
        <f>HYPERLINK("https://my.zakupki.prom.ua/remote/dispatcher/state_contracting_view/5557208", "UA-2020-09-21-000070-b-b1")</f>
        <v/>
      </c>
      <c r="E195" t="s" s="1">
        <v>1501</v>
      </c>
      <c r="F195" t="s" s="1">
        <v>2775</v>
      </c>
      <c r="G195" t="s" s="1">
        <v>2775</v>
      </c>
      <c r="H195" t="s" s="1">
        <v>690</v>
      </c>
      <c r="I195" t="s" s="1">
        <v>2361</v>
      </c>
      <c r="J195" t="s" s="1">
        <v>3392</v>
      </c>
      <c r="K195" t="s" s="1">
        <v>428</v>
      </c>
      <c r="L195" t="s" s="1">
        <v>1356</v>
      </c>
      <c r="M195" t="n" s="5">
        <v>354.0</v>
      </c>
      <c r="N195" t="n" s="7">
        <v>44095.0</v>
      </c>
      <c r="O195" t="n" s="7">
        <v>44196.0</v>
      </c>
      <c r="P195" t="s" s="1">
        <v>3499</v>
      </c>
    </row>
    <row r="196" spans="1:16">
      <c r="A196" t="n" s="4">
        <v>191</v>
      </c>
      <c r="B196" s="2">
        <f>HYPERLINK("https://my.zakupki.prom.ua/remote/dispatcher/state_purchase_view/17888627", "UA-2020-07-15-003275-c")</f>
        <v/>
      </c>
      <c r="C196" t="s" s="2">
        <v>3245</v>
      </c>
      <c r="D196" s="2">
        <f>HYPERLINK("https://my.zakupki.prom.ua/remote/dispatcher/state_contracting_view/4833474", "UA-2020-07-15-003275-c-c1")</f>
        <v/>
      </c>
      <c r="E196" t="s" s="1">
        <v>1963</v>
      </c>
      <c r="F196" t="s" s="1">
        <v>2629</v>
      </c>
      <c r="G196" t="s" s="1">
        <v>2629</v>
      </c>
      <c r="H196" t="s" s="1">
        <v>226</v>
      </c>
      <c r="I196" t="s" s="1">
        <v>2361</v>
      </c>
      <c r="J196" t="s" s="1">
        <v>3467</v>
      </c>
      <c r="K196" t="s" s="1">
        <v>766</v>
      </c>
      <c r="L196" t="s" s="1">
        <v>676</v>
      </c>
      <c r="M196" t="n" s="5">
        <v>328.5</v>
      </c>
      <c r="N196" t="n" s="7">
        <v>44026.0</v>
      </c>
      <c r="O196" t="n" s="7">
        <v>44196.0</v>
      </c>
      <c r="P196" t="s" s="1">
        <v>3499</v>
      </c>
    </row>
    <row r="197" spans="1:16">
      <c r="A197" t="n" s="4">
        <v>192</v>
      </c>
      <c r="B197" s="2">
        <f>HYPERLINK("https://my.zakupki.prom.ua/remote/dispatcher/state_purchase_view/17888943", "UA-2020-07-15-003353-c")</f>
        <v/>
      </c>
      <c r="C197" t="s" s="2">
        <v>3245</v>
      </c>
      <c r="D197" s="2">
        <f>HYPERLINK("https://my.zakupki.prom.ua/remote/dispatcher/state_contracting_view/4833659", "UA-2020-07-15-003353-c-c1")</f>
        <v/>
      </c>
      <c r="E197" t="s" s="1">
        <v>2056</v>
      </c>
      <c r="F197" t="s" s="1">
        <v>2504</v>
      </c>
      <c r="G197" t="s" s="1">
        <v>2504</v>
      </c>
      <c r="H197" t="s" s="1">
        <v>38</v>
      </c>
      <c r="I197" t="s" s="1">
        <v>2361</v>
      </c>
      <c r="J197" t="s" s="1">
        <v>3467</v>
      </c>
      <c r="K197" t="s" s="1">
        <v>766</v>
      </c>
      <c r="L197" t="s" s="1">
        <v>679</v>
      </c>
      <c r="M197" t="n" s="5">
        <v>495.0</v>
      </c>
      <c r="N197" t="n" s="7">
        <v>44026.0</v>
      </c>
      <c r="O197" t="n" s="7">
        <v>44196.0</v>
      </c>
      <c r="P197" t="s" s="1">
        <v>3499</v>
      </c>
    </row>
    <row r="198" spans="1:16">
      <c r="A198" t="n" s="4">
        <v>193</v>
      </c>
      <c r="B198" s="2">
        <f>HYPERLINK("https://my.zakupki.prom.ua/remote/dispatcher/state_purchase_view/18027521", "UA-2020-07-22-000503-b")</f>
        <v/>
      </c>
      <c r="C198" t="s" s="2">
        <v>3245</v>
      </c>
      <c r="D198" s="2">
        <f>HYPERLINK("https://my.zakupki.prom.ua/remote/dispatcher/state_contracting_view/4898773", "UA-2020-07-22-000503-b-b1")</f>
        <v/>
      </c>
      <c r="E198" t="s" s="1">
        <v>910</v>
      </c>
      <c r="F198" t="s" s="1">
        <v>2543</v>
      </c>
      <c r="G198" t="s" s="1">
        <v>2543</v>
      </c>
      <c r="H198" t="s" s="1">
        <v>207</v>
      </c>
      <c r="I198" t="s" s="1">
        <v>2361</v>
      </c>
      <c r="J198" t="s" s="1">
        <v>3467</v>
      </c>
      <c r="K198" t="s" s="1">
        <v>766</v>
      </c>
      <c r="L198" t="s" s="1">
        <v>767</v>
      </c>
      <c r="M198" t="n" s="5">
        <v>11700.75</v>
      </c>
      <c r="N198" t="n" s="7">
        <v>44033.0</v>
      </c>
      <c r="O198" t="n" s="7">
        <v>44196.0</v>
      </c>
      <c r="P198" t="s" s="1">
        <v>3499</v>
      </c>
    </row>
    <row r="199" spans="1:16">
      <c r="A199" t="n" s="4">
        <v>194</v>
      </c>
      <c r="B199" s="2">
        <f>HYPERLINK("https://my.zakupki.prom.ua/remote/dispatcher/state_purchase_view/18301295", "UA-2020-08-04-005442-a")</f>
        <v/>
      </c>
      <c r="C199" t="s" s="2">
        <v>3245</v>
      </c>
      <c r="D199" s="2">
        <f>HYPERLINK("https://my.zakupki.prom.ua/remote/dispatcher/state_contracting_view/5025742", "UA-2020-08-04-005442-a-a1")</f>
        <v/>
      </c>
      <c r="E199" t="s" s="1">
        <v>2098</v>
      </c>
      <c r="F199" t="s" s="1">
        <v>3158</v>
      </c>
      <c r="G199" t="s" s="1">
        <v>3158</v>
      </c>
      <c r="H199" t="s" s="1">
        <v>1511</v>
      </c>
      <c r="I199" t="s" s="1">
        <v>2361</v>
      </c>
      <c r="J199" t="s" s="1">
        <v>3397</v>
      </c>
      <c r="K199" t="s" s="1">
        <v>821</v>
      </c>
      <c r="L199" t="s" s="1">
        <v>3206</v>
      </c>
      <c r="M199" t="n" s="5">
        <v>2800.0</v>
      </c>
      <c r="N199" t="n" s="7">
        <v>44047.0</v>
      </c>
      <c r="O199" t="n" s="7">
        <v>44196.0</v>
      </c>
      <c r="P199" t="s" s="1">
        <v>3499</v>
      </c>
    </row>
    <row r="200" spans="1:16">
      <c r="A200" t="n" s="4">
        <v>195</v>
      </c>
      <c r="B200" s="2">
        <f>HYPERLINK("https://my.zakupki.prom.ua/remote/dispatcher/state_purchase_view/21397572", "UA-2020-11-24-014052-c")</f>
        <v/>
      </c>
      <c r="C200" t="s" s="2">
        <v>3245</v>
      </c>
      <c r="D200" s="2">
        <f>HYPERLINK("https://my.zakupki.prom.ua/remote/dispatcher/state_contracting_view/6493071", "UA-2020-11-24-014052-c-c1")</f>
        <v/>
      </c>
      <c r="E200" t="s" s="1">
        <v>1390</v>
      </c>
      <c r="F200" t="s" s="1">
        <v>3124</v>
      </c>
      <c r="G200" t="s" s="1">
        <v>3124</v>
      </c>
      <c r="H200" t="s" s="1">
        <v>1496</v>
      </c>
      <c r="I200" t="s" s="1">
        <v>2361</v>
      </c>
      <c r="J200" t="s" s="1">
        <v>3298</v>
      </c>
      <c r="K200" t="s" s="1">
        <v>395</v>
      </c>
      <c r="L200" t="s" s="1">
        <v>1774</v>
      </c>
      <c r="M200" t="n" s="5">
        <v>4804.0</v>
      </c>
      <c r="N200" t="n" s="7">
        <v>44159.0</v>
      </c>
      <c r="O200" t="n" s="7">
        <v>44196.0</v>
      </c>
      <c r="P200" t="s" s="1">
        <v>3499</v>
      </c>
    </row>
    <row r="201" spans="1:16">
      <c r="A201" t="n" s="4">
        <v>196</v>
      </c>
      <c r="B201" s="2">
        <f>HYPERLINK("https://my.zakupki.prom.ua/remote/dispatcher/state_purchase_view/17542364", "UA-2020-06-26-008425-a")</f>
        <v/>
      </c>
      <c r="C201" t="s" s="2">
        <v>3245</v>
      </c>
      <c r="D201" s="2">
        <f>HYPERLINK("https://my.zakupki.prom.ua/remote/dispatcher/state_contracting_view/4675833", "UA-2020-06-26-008425-a-a1")</f>
        <v/>
      </c>
      <c r="E201" t="s" s="1">
        <v>2021</v>
      </c>
      <c r="F201" t="s" s="1">
        <v>2440</v>
      </c>
      <c r="G201" t="s" s="1">
        <v>3242</v>
      </c>
      <c r="H201" t="s" s="1">
        <v>703</v>
      </c>
      <c r="I201" t="s" s="1">
        <v>2361</v>
      </c>
      <c r="J201" t="s" s="1">
        <v>3415</v>
      </c>
      <c r="K201" t="s" s="1">
        <v>878</v>
      </c>
      <c r="L201" t="s" s="1">
        <v>3450</v>
      </c>
      <c r="M201" t="n" s="5">
        <v>67800.0</v>
      </c>
      <c r="N201" t="n" s="7">
        <v>44008.0</v>
      </c>
      <c r="O201" t="n" s="7">
        <v>44196.0</v>
      </c>
      <c r="P201" t="s" s="1">
        <v>3499</v>
      </c>
    </row>
    <row r="202" spans="1:16">
      <c r="A202" t="n" s="4">
        <v>197</v>
      </c>
      <c r="B202" s="2">
        <f>HYPERLINK("https://my.zakupki.prom.ua/remote/dispatcher/state_purchase_view/18060692", "UA-2020-07-23-000959-b")</f>
        <v/>
      </c>
      <c r="C202" t="s" s="2">
        <v>3245</v>
      </c>
      <c r="D202" s="2">
        <f>HYPERLINK("https://my.zakupki.prom.ua/remote/dispatcher/state_contracting_view/4914128", "UA-2020-07-23-000959-b-b1")</f>
        <v/>
      </c>
      <c r="E202" t="s" s="1">
        <v>2187</v>
      </c>
      <c r="F202" t="s" s="1">
        <v>2649</v>
      </c>
      <c r="G202" t="s" s="1">
        <v>2649</v>
      </c>
      <c r="H202" t="s" s="1">
        <v>406</v>
      </c>
      <c r="I202" t="s" s="1">
        <v>2361</v>
      </c>
      <c r="J202" t="s" s="1">
        <v>2340</v>
      </c>
      <c r="K202" t="s" s="1">
        <v>660</v>
      </c>
      <c r="L202" t="s" s="1">
        <v>337</v>
      </c>
      <c r="M202" t="n" s="5">
        <v>3995.0</v>
      </c>
      <c r="N202" t="n" s="7">
        <v>44034.0</v>
      </c>
      <c r="O202" t="n" s="7">
        <v>44196.0</v>
      </c>
      <c r="P202" t="s" s="1">
        <v>3499</v>
      </c>
    </row>
    <row r="203" spans="1:16">
      <c r="A203" t="n" s="4">
        <v>198</v>
      </c>
      <c r="B203" s="2">
        <f>HYPERLINK("https://my.zakupki.prom.ua/remote/dispatcher/state_purchase_view/18049740", "UA-2020-07-22-006431-b")</f>
        <v/>
      </c>
      <c r="C203" t="s" s="2">
        <v>3245</v>
      </c>
      <c r="D203" s="2">
        <f>HYPERLINK("https://my.zakupki.prom.ua/remote/dispatcher/state_contracting_view/4908751", "UA-2020-07-22-006431-b-b1")</f>
        <v/>
      </c>
      <c r="E203" t="s" s="1">
        <v>2049</v>
      </c>
      <c r="F203" t="s" s="1">
        <v>3035</v>
      </c>
      <c r="G203" t="s" s="1">
        <v>3035</v>
      </c>
      <c r="H203" t="s" s="1">
        <v>873</v>
      </c>
      <c r="I203" t="s" s="1">
        <v>2361</v>
      </c>
      <c r="J203" t="s" s="1">
        <v>3305</v>
      </c>
      <c r="K203" t="s" s="1">
        <v>530</v>
      </c>
      <c r="L203" t="s" s="1">
        <v>795</v>
      </c>
      <c r="M203" t="n" s="5">
        <v>1959.0</v>
      </c>
      <c r="N203" t="n" s="7">
        <v>44033.0</v>
      </c>
      <c r="O203" t="n" s="7">
        <v>44196.0</v>
      </c>
      <c r="P203" t="s" s="1">
        <v>3499</v>
      </c>
    </row>
    <row r="204" spans="1:16">
      <c r="A204" t="n" s="4">
        <v>199</v>
      </c>
      <c r="B204" s="2">
        <f>HYPERLINK("https://my.zakupki.prom.ua/remote/dispatcher/state_purchase_view/21285343", "UA-2020-11-20-007941-c")</f>
        <v/>
      </c>
      <c r="C204" t="s" s="2">
        <v>3245</v>
      </c>
      <c r="D204" s="2">
        <f>HYPERLINK("https://my.zakupki.prom.ua/remote/dispatcher/state_contracting_view/6440262", "UA-2020-11-20-007941-c-c1")</f>
        <v/>
      </c>
      <c r="E204" t="s" s="1">
        <v>1905</v>
      </c>
      <c r="F204" t="s" s="1">
        <v>2666</v>
      </c>
      <c r="G204" t="s" s="1">
        <v>2665</v>
      </c>
      <c r="H204" t="s" s="1">
        <v>445</v>
      </c>
      <c r="I204" t="s" s="1">
        <v>2361</v>
      </c>
      <c r="J204" t="s" s="1">
        <v>3346</v>
      </c>
      <c r="K204" t="s" s="1">
        <v>680</v>
      </c>
      <c r="L204" t="s" s="1">
        <v>1770</v>
      </c>
      <c r="M204" t="n" s="5">
        <v>24585.0</v>
      </c>
      <c r="N204" t="n" s="7">
        <v>44155.0</v>
      </c>
      <c r="O204" t="n" s="7">
        <v>44196.0</v>
      </c>
      <c r="P204" t="s" s="1">
        <v>3499</v>
      </c>
    </row>
    <row r="205" spans="1:16">
      <c r="A205" t="n" s="4">
        <v>200</v>
      </c>
      <c r="B205" s="2">
        <f>HYPERLINK("https://my.zakupki.prom.ua/remote/dispatcher/state_purchase_view/21360153", "UA-2020-11-24-000682-c")</f>
        <v/>
      </c>
      <c r="C205" t="s" s="2">
        <v>3245</v>
      </c>
      <c r="D205" s="2">
        <f>HYPERLINK("https://my.zakupki.prom.ua/remote/dispatcher/state_contracting_view/6563709", "UA-2020-11-24-000682-c-c1")</f>
        <v/>
      </c>
      <c r="E205" t="s" s="1">
        <v>2002</v>
      </c>
      <c r="F205" t="s" s="1">
        <v>2733</v>
      </c>
      <c r="G205" t="s" s="1">
        <v>2732</v>
      </c>
      <c r="H205" t="s" s="1">
        <v>688</v>
      </c>
      <c r="I205" t="s" s="1">
        <v>3313</v>
      </c>
      <c r="J205" t="s" s="1">
        <v>3392</v>
      </c>
      <c r="K205" t="s" s="1">
        <v>428</v>
      </c>
      <c r="L205" t="s" s="1">
        <v>1810</v>
      </c>
      <c r="M205" t="n" s="5">
        <v>102700.0</v>
      </c>
      <c r="N205" t="n" s="7">
        <v>44165.0</v>
      </c>
      <c r="O205" t="n" s="7">
        <v>44196.0</v>
      </c>
      <c r="P205" t="s" s="1">
        <v>3499</v>
      </c>
    </row>
    <row r="206" spans="1:16">
      <c r="A206" t="n" s="4">
        <v>201</v>
      </c>
      <c r="B206" s="2">
        <f>HYPERLINK("https://my.zakupki.prom.ua/remote/dispatcher/state_purchase_view/21596872", "UA-2020-12-01-003167-b")</f>
        <v/>
      </c>
      <c r="C206" t="s" s="2">
        <v>3245</v>
      </c>
      <c r="D206" s="2">
        <f>HYPERLINK("https://my.zakupki.prom.ua/remote/dispatcher/state_contracting_view/6586320", "UA-2020-12-01-003167-b-b1")</f>
        <v/>
      </c>
      <c r="E206" t="s" s="1">
        <v>57</v>
      </c>
      <c r="F206" t="s" s="1">
        <v>2819</v>
      </c>
      <c r="G206" t="s" s="1">
        <v>2819</v>
      </c>
      <c r="H206" t="s" s="1">
        <v>695</v>
      </c>
      <c r="I206" t="s" s="1">
        <v>2361</v>
      </c>
      <c r="J206" t="s" s="1">
        <v>3403</v>
      </c>
      <c r="K206" t="s" s="1">
        <v>771</v>
      </c>
      <c r="L206" t="s" s="1">
        <v>1818</v>
      </c>
      <c r="M206" t="n" s="5">
        <v>25800.0</v>
      </c>
      <c r="N206" t="n" s="7">
        <v>44166.0</v>
      </c>
      <c r="O206" t="n" s="7">
        <v>44196.0</v>
      </c>
      <c r="P206" t="s" s="1">
        <v>3499</v>
      </c>
    </row>
    <row r="207" spans="1:16">
      <c r="A207" t="n" s="4">
        <v>202</v>
      </c>
      <c r="B207" s="2">
        <f>HYPERLINK("https://my.zakupki.prom.ua/remote/dispatcher/state_purchase_view/21587403", "UA-2020-12-01-000835-b")</f>
        <v/>
      </c>
      <c r="C207" t="s" s="2">
        <v>3245</v>
      </c>
      <c r="D207" s="2">
        <f>HYPERLINK("https://my.zakupki.prom.ua/remote/dispatcher/state_contracting_view/6581588", "UA-2020-12-01-000835-b-b1")</f>
        <v/>
      </c>
      <c r="E207" t="s" s="1">
        <v>1312</v>
      </c>
      <c r="F207" t="s" s="1">
        <v>3134</v>
      </c>
      <c r="G207" t="s" s="1">
        <v>3134</v>
      </c>
      <c r="H207" t="s" s="1">
        <v>1505</v>
      </c>
      <c r="I207" t="s" s="1">
        <v>2361</v>
      </c>
      <c r="J207" t="s" s="1">
        <v>3395</v>
      </c>
      <c r="K207" t="s" s="1">
        <v>994</v>
      </c>
      <c r="L207" t="s" s="1">
        <v>951</v>
      </c>
      <c r="M207" t="n" s="5">
        <v>41000.0</v>
      </c>
      <c r="N207" t="n" s="7">
        <v>44166.0</v>
      </c>
      <c r="O207" t="n" s="7">
        <v>44196.0</v>
      </c>
      <c r="P207" t="s" s="1">
        <v>3499</v>
      </c>
    </row>
    <row r="208" spans="1:16">
      <c r="A208" t="n" s="4">
        <v>203</v>
      </c>
      <c r="B208" s="2">
        <f>HYPERLINK("https://my.zakupki.prom.ua/remote/dispatcher/state_purchase_view/22110848", "UA-2020-12-14-004304-c")</f>
        <v/>
      </c>
      <c r="C208" t="s" s="2">
        <v>3245</v>
      </c>
      <c r="D208" s="2">
        <f>HYPERLINK("https://my.zakupki.prom.ua/remote/dispatcher/state_contracting_view/6828318", "UA-2020-12-14-004304-c-c1")</f>
        <v/>
      </c>
      <c r="E208" t="s" s="1">
        <v>1470</v>
      </c>
      <c r="F208" t="s" s="1">
        <v>2698</v>
      </c>
      <c r="G208" t="s" s="1">
        <v>2698</v>
      </c>
      <c r="H208" t="s" s="1">
        <v>603</v>
      </c>
      <c r="I208" t="s" s="1">
        <v>2361</v>
      </c>
      <c r="J208" t="s" s="1">
        <v>3384</v>
      </c>
      <c r="K208" t="s" s="1">
        <v>930</v>
      </c>
      <c r="L208" t="s" s="1">
        <v>107</v>
      </c>
      <c r="M208" t="n" s="5">
        <v>3011.0</v>
      </c>
      <c r="N208" t="n" s="7">
        <v>44179.0</v>
      </c>
      <c r="O208" t="n" s="7">
        <v>44196.0</v>
      </c>
      <c r="P208" t="s" s="1">
        <v>3499</v>
      </c>
    </row>
    <row r="209" spans="1:16">
      <c r="A209" t="n" s="4">
        <v>204</v>
      </c>
      <c r="B209" s="2">
        <f>HYPERLINK("https://my.zakupki.prom.ua/remote/dispatcher/state_purchase_view/21518991", "UA-2020-11-27-004379-b")</f>
        <v/>
      </c>
      <c r="C209" t="s" s="2">
        <v>3245</v>
      </c>
      <c r="D209" s="2">
        <f>HYPERLINK("https://my.zakupki.prom.ua/remote/dispatcher/state_contracting_view/6549882", "UA-2020-11-27-004379-b-b1")</f>
        <v/>
      </c>
      <c r="E209" t="s" s="1">
        <v>2063</v>
      </c>
      <c r="F209" t="s" s="1">
        <v>2501</v>
      </c>
      <c r="G209" t="s" s="1">
        <v>2501</v>
      </c>
      <c r="H209" t="s" s="1">
        <v>1051</v>
      </c>
      <c r="I209" t="s" s="1">
        <v>2361</v>
      </c>
      <c r="J209" t="s" s="1">
        <v>3348</v>
      </c>
      <c r="K209" t="s" s="1">
        <v>652</v>
      </c>
      <c r="L209" t="s" s="1">
        <v>1806</v>
      </c>
      <c r="M209" t="n" s="5">
        <v>60125.0</v>
      </c>
      <c r="N209" t="n" s="7">
        <v>44162.0</v>
      </c>
      <c r="O209" t="n" s="7">
        <v>44196.0</v>
      </c>
      <c r="P209" t="s" s="1">
        <v>3499</v>
      </c>
    </row>
    <row r="210" spans="1:16">
      <c r="A210" t="n" s="4">
        <v>205</v>
      </c>
      <c r="B210" s="2">
        <f>HYPERLINK("https://my.zakupki.prom.ua/remote/dispatcher/state_purchase_view/20897772", "UA-2020-11-09-008573-c")</f>
        <v/>
      </c>
      <c r="C210" t="s" s="2">
        <v>3245</v>
      </c>
      <c r="D210" s="2">
        <f>HYPERLINK("https://my.zakupki.prom.ua/remote/dispatcher/state_contracting_view/6261345", "UA-2020-11-09-008573-c-c1")</f>
        <v/>
      </c>
      <c r="E210" t="s" s="1">
        <v>1949</v>
      </c>
      <c r="F210" t="s" s="1">
        <v>2758</v>
      </c>
      <c r="G210" t="s" s="1">
        <v>3498</v>
      </c>
      <c r="H210" t="s" s="1">
        <v>690</v>
      </c>
      <c r="I210" t="s" s="1">
        <v>2361</v>
      </c>
      <c r="J210" t="s" s="1">
        <v>3403</v>
      </c>
      <c r="K210" t="s" s="1">
        <v>771</v>
      </c>
      <c r="L210" t="s" s="1">
        <v>1671</v>
      </c>
      <c r="M210" t="n" s="5">
        <v>4425.0</v>
      </c>
      <c r="N210" t="n" s="7">
        <v>44144.0</v>
      </c>
      <c r="O210" t="n" s="7">
        <v>44196.0</v>
      </c>
      <c r="P210" t="s" s="1">
        <v>3499</v>
      </c>
    </row>
    <row r="211" spans="1:16">
      <c r="A211" t="n" s="4">
        <v>206</v>
      </c>
      <c r="B211" s="2">
        <f>HYPERLINK("https://my.zakupki.prom.ua/remote/dispatcher/state_purchase_view/21121946", "UA-2020-11-17-000231-c")</f>
        <v/>
      </c>
      <c r="C211" t="s" s="2">
        <v>3245</v>
      </c>
      <c r="D211" s="2">
        <f>HYPERLINK("https://my.zakupki.prom.ua/remote/dispatcher/state_contracting_view/6364696", "UA-2020-11-17-000231-c-c1")</f>
        <v/>
      </c>
      <c r="E211" t="s" s="1">
        <v>1235</v>
      </c>
      <c r="F211" t="s" s="1">
        <v>3131</v>
      </c>
      <c r="G211" t="s" s="1">
        <v>3131</v>
      </c>
      <c r="H211" t="s" s="1">
        <v>1505</v>
      </c>
      <c r="I211" t="s" s="1">
        <v>2361</v>
      </c>
      <c r="J211" t="s" s="1">
        <v>3413</v>
      </c>
      <c r="K211" t="s" s="1">
        <v>677</v>
      </c>
      <c r="L211" t="s" s="1">
        <v>1703</v>
      </c>
      <c r="M211" t="n" s="5">
        <v>291900.0</v>
      </c>
      <c r="N211" t="n" s="7">
        <v>44151.0</v>
      </c>
      <c r="O211" t="n" s="7">
        <v>44196.0</v>
      </c>
      <c r="P211" t="s" s="1">
        <v>3499</v>
      </c>
    </row>
    <row r="212" spans="1:16">
      <c r="A212" t="n" s="4">
        <v>207</v>
      </c>
      <c r="B212" s="2">
        <f>HYPERLINK("https://my.zakupki.prom.ua/remote/dispatcher/state_purchase_view/21110688", "UA-2020-11-16-011110-c")</f>
        <v/>
      </c>
      <c r="C212" t="s" s="2">
        <v>3245</v>
      </c>
      <c r="D212" s="2">
        <f>HYPERLINK("https://my.zakupki.prom.ua/remote/dispatcher/state_contracting_view/6359222", "UA-2020-11-16-011110-c-c1")</f>
        <v/>
      </c>
      <c r="E212" t="s" s="1">
        <v>2032</v>
      </c>
      <c r="F212" t="s" s="1">
        <v>2578</v>
      </c>
      <c r="G212" t="s" s="1">
        <v>2578</v>
      </c>
      <c r="H212" t="s" s="1">
        <v>219</v>
      </c>
      <c r="I212" t="s" s="1">
        <v>2361</v>
      </c>
      <c r="J212" t="s" s="1">
        <v>3467</v>
      </c>
      <c r="K212" t="s" s="1">
        <v>766</v>
      </c>
      <c r="L212" t="s" s="1">
        <v>1707</v>
      </c>
      <c r="M212" t="n" s="5">
        <v>1205.0</v>
      </c>
      <c r="N212" t="n" s="7">
        <v>44148.0</v>
      </c>
      <c r="O212" t="n" s="7">
        <v>44196.0</v>
      </c>
      <c r="P212" t="s" s="1">
        <v>3499</v>
      </c>
    </row>
    <row r="213" spans="1:16">
      <c r="A213" t="n" s="4">
        <v>208</v>
      </c>
      <c r="B213" s="2">
        <f>HYPERLINK("https://my.zakupki.prom.ua/remote/dispatcher/state_purchase_view/21108636", "UA-2020-11-16-010456-c")</f>
        <v/>
      </c>
      <c r="C213" t="s" s="2">
        <v>3245</v>
      </c>
      <c r="D213" s="2">
        <f>HYPERLINK("https://my.zakupki.prom.ua/remote/dispatcher/state_contracting_view/6358126", "UA-2020-11-16-010456-c-c1")</f>
        <v/>
      </c>
      <c r="E213" t="s" s="1">
        <v>446</v>
      </c>
      <c r="F213" t="s" s="1">
        <v>2763</v>
      </c>
      <c r="G213" t="s" s="1">
        <v>2760</v>
      </c>
      <c r="H213" t="s" s="1">
        <v>690</v>
      </c>
      <c r="I213" t="s" s="1">
        <v>2361</v>
      </c>
      <c r="J213" t="s" s="1">
        <v>3377</v>
      </c>
      <c r="K213" t="s" s="1">
        <v>722</v>
      </c>
      <c r="L213" t="s" s="1">
        <v>517</v>
      </c>
      <c r="M213" t="n" s="5">
        <v>205300.0</v>
      </c>
      <c r="N213" t="n" s="7">
        <v>44146.0</v>
      </c>
      <c r="O213" t="n" s="7">
        <v>44196.0</v>
      </c>
      <c r="P213" t="s" s="1">
        <v>3499</v>
      </c>
    </row>
    <row r="214" spans="1:16">
      <c r="A214" t="n" s="4">
        <v>209</v>
      </c>
      <c r="B214" s="2">
        <f>HYPERLINK("https://my.zakupki.prom.ua/remote/dispatcher/state_purchase_view/22774432", "UA-2020-12-29-007729-a")</f>
        <v/>
      </c>
      <c r="C214" t="s" s="2">
        <v>3245</v>
      </c>
      <c r="D214" s="2">
        <f>HYPERLINK("https://my.zakupki.prom.ua/remote/dispatcher/state_contracting_view/7150910", "UA-2020-12-29-007729-a-a1")</f>
        <v/>
      </c>
      <c r="E214" t="s" s="1">
        <v>561</v>
      </c>
      <c r="F214" t="s" s="1">
        <v>3038</v>
      </c>
      <c r="G214" t="s" s="1">
        <v>3038</v>
      </c>
      <c r="H214" t="s" s="1">
        <v>873</v>
      </c>
      <c r="I214" t="s" s="1">
        <v>2361</v>
      </c>
      <c r="J214" t="s" s="1">
        <v>3467</v>
      </c>
      <c r="K214" t="s" s="1">
        <v>766</v>
      </c>
      <c r="L214" t="s" s="1">
        <v>135</v>
      </c>
      <c r="M214" t="n" s="5">
        <v>9994.3</v>
      </c>
      <c r="N214" t="n" s="7">
        <v>44193.0</v>
      </c>
      <c r="O214" t="n" s="7">
        <v>44196.0</v>
      </c>
      <c r="P214" t="s" s="1">
        <v>3499</v>
      </c>
    </row>
    <row r="215" spans="1:16">
      <c r="A215" t="n" s="4">
        <v>210</v>
      </c>
      <c r="B215" s="2">
        <f>HYPERLINK("https://my.zakupki.prom.ua/remote/dispatcher/state_purchase_view/22755838", "UA-2020-12-29-002476-a")</f>
        <v/>
      </c>
      <c r="C215" t="s" s="2">
        <v>3245</v>
      </c>
      <c r="D215" s="2">
        <f>HYPERLINK("https://my.zakupki.prom.ua/remote/dispatcher/state_contracting_view/7146485", "UA-2020-12-29-002476-a-a1")</f>
        <v/>
      </c>
      <c r="E215" t="s" s="1">
        <v>2200</v>
      </c>
      <c r="F215" t="s" s="1">
        <v>2496</v>
      </c>
      <c r="G215" t="s" s="1">
        <v>2496</v>
      </c>
      <c r="H215" t="s" s="1">
        <v>718</v>
      </c>
      <c r="I215" t="s" s="1">
        <v>2361</v>
      </c>
      <c r="J215" t="s" s="1">
        <v>3392</v>
      </c>
      <c r="K215" t="s" s="1">
        <v>428</v>
      </c>
      <c r="L215" t="s" s="1">
        <v>126</v>
      </c>
      <c r="M215" t="n" s="5">
        <v>26240.0</v>
      </c>
      <c r="N215" t="n" s="7">
        <v>44194.0</v>
      </c>
      <c r="O215" t="n" s="7">
        <v>44196.0</v>
      </c>
      <c r="P215" t="s" s="1">
        <v>3499</v>
      </c>
    </row>
    <row r="216" spans="1:16">
      <c r="A216" t="n" s="4">
        <v>211</v>
      </c>
      <c r="B216" s="2">
        <f>HYPERLINK("https://my.zakupki.prom.ua/remote/dispatcher/state_purchase_view/20986642", "UA-2020-11-11-010451-a")</f>
        <v/>
      </c>
      <c r="C216" t="s" s="2">
        <v>3245</v>
      </c>
      <c r="D216" s="2">
        <f>HYPERLINK("https://my.zakupki.prom.ua/remote/dispatcher/state_contracting_view/6301725", "UA-2020-11-11-010451-a-a1")</f>
        <v/>
      </c>
      <c r="E216" t="s" s="1">
        <v>1340</v>
      </c>
      <c r="F216" t="s" s="1">
        <v>3003</v>
      </c>
      <c r="G216" t="s" s="1">
        <v>3003</v>
      </c>
      <c r="H216" t="s" s="1">
        <v>848</v>
      </c>
      <c r="I216" t="s" s="1">
        <v>2361</v>
      </c>
      <c r="J216" t="s" s="1">
        <v>3467</v>
      </c>
      <c r="K216" t="s" s="1">
        <v>766</v>
      </c>
      <c r="L216" t="s" s="1">
        <v>1696</v>
      </c>
      <c r="M216" t="n" s="5">
        <v>11824.0</v>
      </c>
      <c r="N216" t="n" s="7">
        <v>44146.0</v>
      </c>
      <c r="O216" t="n" s="7">
        <v>44196.0</v>
      </c>
      <c r="P216" t="s" s="1">
        <v>3499</v>
      </c>
    </row>
    <row r="217" spans="1:16">
      <c r="A217" t="n" s="4">
        <v>212</v>
      </c>
      <c r="B217" s="2">
        <f>HYPERLINK("https://my.zakupki.prom.ua/remote/dispatcher/state_purchase_view/20985507", "UA-2020-11-11-010125-a")</f>
        <v/>
      </c>
      <c r="C217" t="s" s="2">
        <v>3245</v>
      </c>
      <c r="D217" s="2">
        <f>HYPERLINK("https://my.zakupki.prom.ua/remote/dispatcher/state_contracting_view/6301360", "UA-2020-11-11-010125-a-a1")</f>
        <v/>
      </c>
      <c r="E217" t="s" s="1">
        <v>2046</v>
      </c>
      <c r="F217" t="s" s="1">
        <v>2956</v>
      </c>
      <c r="G217" t="s" s="1">
        <v>2956</v>
      </c>
      <c r="H217" t="s" s="1">
        <v>733</v>
      </c>
      <c r="I217" t="s" s="1">
        <v>2361</v>
      </c>
      <c r="J217" t="s" s="1">
        <v>3467</v>
      </c>
      <c r="K217" t="s" s="1">
        <v>766</v>
      </c>
      <c r="L217" t="s" s="1">
        <v>1692</v>
      </c>
      <c r="M217" t="n" s="5">
        <v>1070.0</v>
      </c>
      <c r="N217" t="n" s="7">
        <v>44146.0</v>
      </c>
      <c r="O217" t="n" s="7">
        <v>44196.0</v>
      </c>
      <c r="P217" t="s" s="1">
        <v>3499</v>
      </c>
    </row>
    <row r="218" spans="1:16">
      <c r="A218" t="n" s="4">
        <v>213</v>
      </c>
      <c r="B218" s="2">
        <f>HYPERLINK("https://my.zakupki.prom.ua/remote/dispatcher/state_purchase_view/22748085", "UA-2020-12-29-000459-a")</f>
        <v/>
      </c>
      <c r="C218" t="s" s="2">
        <v>3245</v>
      </c>
      <c r="D218" s="2">
        <f>HYPERLINK("https://my.zakupki.prom.ua/remote/dispatcher/state_contracting_view/7138069", "UA-2020-12-29-000459-a-a1")</f>
        <v/>
      </c>
      <c r="E218" t="s" s="1">
        <v>2120</v>
      </c>
      <c r="F218" t="s" s="1">
        <v>3051</v>
      </c>
      <c r="G218" t="s" s="1">
        <v>3051</v>
      </c>
      <c r="H218" t="s" s="1">
        <v>1006</v>
      </c>
      <c r="I218" t="s" s="1">
        <v>2361</v>
      </c>
      <c r="J218" t="s" s="1">
        <v>3420</v>
      </c>
      <c r="K218" t="s" s="1">
        <v>535</v>
      </c>
      <c r="L218" t="s" s="1">
        <v>3361</v>
      </c>
      <c r="M218" t="n" s="5">
        <v>130.0</v>
      </c>
      <c r="N218" t="n" s="7">
        <v>44194.0</v>
      </c>
      <c r="O218" t="n" s="7">
        <v>44196.0</v>
      </c>
      <c r="P218" t="s" s="1">
        <v>3499</v>
      </c>
    </row>
    <row r="219" spans="1:16">
      <c r="A219" t="n" s="4">
        <v>214</v>
      </c>
      <c r="B219" s="2">
        <f>HYPERLINK("https://my.zakupki.prom.ua/remote/dispatcher/state_purchase_view/22748287", "UA-2020-12-29-000538-a")</f>
        <v/>
      </c>
      <c r="C219" t="s" s="2">
        <v>3245</v>
      </c>
      <c r="D219" s="2">
        <f>HYPERLINK("https://my.zakupki.prom.ua/remote/dispatcher/state_contracting_view/7138129", "UA-2020-12-29-000538-a-a1")</f>
        <v/>
      </c>
      <c r="E219" t="s" s="1">
        <v>2106</v>
      </c>
      <c r="F219" t="s" s="1">
        <v>3070</v>
      </c>
      <c r="G219" t="s" s="1">
        <v>3070</v>
      </c>
      <c r="H219" t="s" s="1">
        <v>1022</v>
      </c>
      <c r="I219" t="s" s="1">
        <v>2361</v>
      </c>
      <c r="J219" t="s" s="1">
        <v>3420</v>
      </c>
      <c r="K219" t="s" s="1">
        <v>535</v>
      </c>
      <c r="L219" t="s" s="1">
        <v>3359</v>
      </c>
      <c r="M219" t="n" s="5">
        <v>122.5</v>
      </c>
      <c r="N219" t="n" s="7">
        <v>44194.0</v>
      </c>
      <c r="O219" t="n" s="7">
        <v>44196.0</v>
      </c>
      <c r="P219" t="s" s="1">
        <v>3499</v>
      </c>
    </row>
    <row r="220" spans="1:16">
      <c r="A220" t="n" s="4">
        <v>215</v>
      </c>
      <c r="B220" s="2">
        <f>HYPERLINK("https://my.zakupki.prom.ua/remote/dispatcher/state_purchase_view/22726415", "UA-2020-12-28-010916-c")</f>
        <v/>
      </c>
      <c r="C220" t="s" s="2">
        <v>3245</v>
      </c>
      <c r="D220" s="2">
        <f>HYPERLINK("https://my.zakupki.prom.ua/remote/dispatcher/state_contracting_view/7127545", "UA-2020-12-28-010916-c-c1")</f>
        <v/>
      </c>
      <c r="E220" t="s" s="1">
        <v>2137</v>
      </c>
      <c r="F220" t="s" s="1">
        <v>3023</v>
      </c>
      <c r="G220" t="s" s="1">
        <v>3023</v>
      </c>
      <c r="H220" t="s" s="1">
        <v>861</v>
      </c>
      <c r="I220" t="s" s="1">
        <v>2361</v>
      </c>
      <c r="J220" t="s" s="1">
        <v>3420</v>
      </c>
      <c r="K220" t="s" s="1">
        <v>535</v>
      </c>
      <c r="L220" t="s" s="1">
        <v>3363</v>
      </c>
      <c r="M220" t="n" s="5">
        <v>2500.0</v>
      </c>
      <c r="N220" t="n" s="7">
        <v>44193.0</v>
      </c>
      <c r="O220" t="n" s="7">
        <v>44196.0</v>
      </c>
      <c r="P220" t="s" s="1">
        <v>3499</v>
      </c>
    </row>
    <row r="221" spans="1:16">
      <c r="A221" t="n" s="4">
        <v>216</v>
      </c>
      <c r="B221" s="2">
        <f>HYPERLINK("https://my.zakupki.prom.ua/remote/dispatcher/state_purchase_view/22734665", "UA-2020-12-28-013823-c")</f>
        <v/>
      </c>
      <c r="C221" t="s" s="2">
        <v>3245</v>
      </c>
      <c r="D221" s="2">
        <f>HYPERLINK("https://my.zakupki.prom.ua/remote/dispatcher/state_contracting_view/7131469", "UA-2020-12-28-013823-c-c1")</f>
        <v/>
      </c>
      <c r="E221" t="s" s="1">
        <v>1474</v>
      </c>
      <c r="F221" t="s" s="1">
        <v>3053</v>
      </c>
      <c r="G221" t="s" s="1">
        <v>3053</v>
      </c>
      <c r="H221" t="s" s="1">
        <v>1008</v>
      </c>
      <c r="I221" t="s" s="1">
        <v>2361</v>
      </c>
      <c r="J221" t="s" s="1">
        <v>3420</v>
      </c>
      <c r="K221" t="s" s="1">
        <v>535</v>
      </c>
      <c r="L221" t="s" s="1">
        <v>3369</v>
      </c>
      <c r="M221" t="n" s="5">
        <v>205.0</v>
      </c>
      <c r="N221" t="n" s="7">
        <v>44193.0</v>
      </c>
      <c r="O221" t="n" s="7">
        <v>44196.0</v>
      </c>
      <c r="P221" t="s" s="1">
        <v>3499</v>
      </c>
    </row>
    <row r="222" spans="1:16">
      <c r="A222" t="n" s="4">
        <v>217</v>
      </c>
      <c r="B222" s="2">
        <f>HYPERLINK("https://my.zakupki.prom.ua/remote/dispatcher/state_purchase_view/22700230", "UA-2020-12-28-001423-c")</f>
        <v/>
      </c>
      <c r="C222" t="s" s="2">
        <v>3245</v>
      </c>
      <c r="D222" s="2">
        <f>HYPERLINK("https://my.zakupki.prom.ua/remote/dispatcher/state_contracting_view/7114276", "UA-2020-12-28-001423-c-c1")</f>
        <v/>
      </c>
      <c r="E222" t="s" s="1">
        <v>2213</v>
      </c>
      <c r="F222" t="s" s="1">
        <v>3080</v>
      </c>
      <c r="G222" t="s" s="1">
        <v>3080</v>
      </c>
      <c r="H222" t="s" s="1">
        <v>1028</v>
      </c>
      <c r="I222" t="s" s="1">
        <v>2361</v>
      </c>
      <c r="J222" t="s" s="1">
        <v>3404</v>
      </c>
      <c r="K222" t="s" s="1">
        <v>966</v>
      </c>
      <c r="L222" t="s" s="1">
        <v>141</v>
      </c>
      <c r="M222" t="n" s="5">
        <v>1045000.0</v>
      </c>
      <c r="N222" t="n" s="7">
        <v>44189.0</v>
      </c>
      <c r="O222" t="n" s="7">
        <v>44196.0</v>
      </c>
      <c r="P222" t="s" s="1">
        <v>3499</v>
      </c>
    </row>
    <row r="223" spans="1:16">
      <c r="A223" t="n" s="4">
        <v>218</v>
      </c>
      <c r="B223" s="2">
        <f>HYPERLINK("https://my.zakupki.prom.ua/remote/dispatcher/state_purchase_view/16542464", "UA-2020-05-05-000822-b")</f>
        <v/>
      </c>
      <c r="C223" t="s" s="2">
        <v>3245</v>
      </c>
      <c r="D223" s="2">
        <f>HYPERLINK("https://my.zakupki.prom.ua/remote/dispatcher/state_contracting_view/4220375", "UA-2020-05-05-000822-b-b1")</f>
        <v/>
      </c>
      <c r="E223" t="s" s="1">
        <v>1689</v>
      </c>
      <c r="F223" t="s" s="1">
        <v>2314</v>
      </c>
      <c r="G223" t="s" s="1">
        <v>2314</v>
      </c>
      <c r="H223" t="s" s="1">
        <v>848</v>
      </c>
      <c r="I223" t="s" s="1">
        <v>2361</v>
      </c>
      <c r="J223" t="s" s="1">
        <v>2279</v>
      </c>
      <c r="K223" t="s" s="1">
        <v>539</v>
      </c>
      <c r="L223" t="s" s="1">
        <v>185</v>
      </c>
      <c r="M223" t="n" s="5">
        <v>1139.0</v>
      </c>
      <c r="N223" t="n" s="7">
        <v>43956.0</v>
      </c>
      <c r="O223" t="n" s="7">
        <v>44196.0</v>
      </c>
      <c r="P223" t="s" s="1">
        <v>3499</v>
      </c>
    </row>
    <row r="224" spans="1:16">
      <c r="A224" t="n" s="4">
        <v>219</v>
      </c>
      <c r="B224" s="2">
        <f>HYPERLINK("https://my.zakupki.prom.ua/remote/dispatcher/state_purchase_view/16002758", "UA-2020-03-27-001970-b")</f>
        <v/>
      </c>
      <c r="C224" t="s" s="2">
        <v>3245</v>
      </c>
      <c r="D224" s="2">
        <f>HYPERLINK("https://my.zakupki.prom.ua/remote/dispatcher/state_contracting_view/4016070", "UA-2020-03-27-001970-b-b1")</f>
        <v/>
      </c>
      <c r="E224" t="s" s="1">
        <v>2150</v>
      </c>
      <c r="F224" t="s" s="1">
        <v>719</v>
      </c>
      <c r="G224" t="s" s="1">
        <v>719</v>
      </c>
      <c r="H224" t="s" s="1">
        <v>718</v>
      </c>
      <c r="I224" t="s" s="1">
        <v>2361</v>
      </c>
      <c r="J224" t="s" s="1">
        <v>3419</v>
      </c>
      <c r="K224" t="s" s="1">
        <v>428</v>
      </c>
      <c r="L224" t="s" s="1">
        <v>1817</v>
      </c>
      <c r="M224" t="n" s="5">
        <v>6549.15</v>
      </c>
      <c r="N224" t="n" s="7">
        <v>43916.0</v>
      </c>
      <c r="O224" t="n" s="7">
        <v>44196.0</v>
      </c>
      <c r="P224" t="s" s="1">
        <v>3499</v>
      </c>
    </row>
    <row r="225" spans="1:16">
      <c r="A225" t="n" s="4">
        <v>220</v>
      </c>
      <c r="B225" s="2">
        <f>HYPERLINK("https://my.zakupki.prom.ua/remote/dispatcher/state_purchase_view/16130893", "UA-2020-04-06-002659-b")</f>
        <v/>
      </c>
      <c r="C225" t="s" s="2">
        <v>3245</v>
      </c>
      <c r="D225" s="2">
        <f>HYPERLINK("https://my.zakupki.prom.ua/remote/dispatcher/state_contracting_view/4060864", "UA-2020-04-06-002659-b-b1")</f>
        <v/>
      </c>
      <c r="E225" t="s" s="1">
        <v>1970</v>
      </c>
      <c r="F225" t="s" s="1">
        <v>2381</v>
      </c>
      <c r="G225" t="s" s="1">
        <v>2381</v>
      </c>
      <c r="H225" t="s" s="1">
        <v>1052</v>
      </c>
      <c r="I225" t="s" s="1">
        <v>2361</v>
      </c>
      <c r="J225" t="s" s="1">
        <v>3389</v>
      </c>
      <c r="K225" t="s" s="1">
        <v>956</v>
      </c>
      <c r="L225" t="s" s="1">
        <v>125</v>
      </c>
      <c r="M225" t="n" s="5">
        <v>295580.0</v>
      </c>
      <c r="N225" t="n" s="7">
        <v>43927.0</v>
      </c>
      <c r="O225" t="n" s="7">
        <v>44196.0</v>
      </c>
      <c r="P225" t="s" s="1">
        <v>3499</v>
      </c>
    </row>
    <row r="226" spans="1:16">
      <c r="A226" t="n" s="4">
        <v>221</v>
      </c>
      <c r="B226" s="2">
        <f>HYPERLINK("https://my.zakupki.prom.ua/remote/dispatcher/state_purchase_view/16322522", "UA-2020-04-16-000285-b")</f>
        <v/>
      </c>
      <c r="C226" t="s" s="2">
        <v>3245</v>
      </c>
      <c r="D226" s="2">
        <f>HYPERLINK("https://my.zakupki.prom.ua/remote/dispatcher/state_contracting_view/4127959", "UA-2020-04-16-000285-b-b1")</f>
        <v/>
      </c>
      <c r="E226" t="s" s="1">
        <v>1687</v>
      </c>
      <c r="F226" t="s" s="1">
        <v>2396</v>
      </c>
      <c r="G226" t="s" s="1">
        <v>2369</v>
      </c>
      <c r="H226" t="s" s="1">
        <v>1140</v>
      </c>
      <c r="I226" t="s" s="1">
        <v>2361</v>
      </c>
      <c r="J226" t="s" s="1">
        <v>3219</v>
      </c>
      <c r="K226" t="s" s="1">
        <v>639</v>
      </c>
      <c r="L226" t="s" s="1">
        <v>161</v>
      </c>
      <c r="M226" t="n" s="5">
        <v>7770.0</v>
      </c>
      <c r="N226" t="n" s="7">
        <v>43937.0</v>
      </c>
      <c r="O226" t="n" s="7">
        <v>44196.0</v>
      </c>
      <c r="P226" t="s" s="1">
        <v>3499</v>
      </c>
    </row>
    <row r="227" spans="1:16">
      <c r="A227" t="n" s="4">
        <v>222</v>
      </c>
      <c r="B227" s="2">
        <f>HYPERLINK("https://my.zakupki.prom.ua/remote/dispatcher/state_purchase_view/16491624", "UA-2020-04-28-001412-b")</f>
        <v/>
      </c>
      <c r="C227" t="s" s="2">
        <v>3245</v>
      </c>
      <c r="D227" s="2">
        <f>HYPERLINK("https://my.zakupki.prom.ua/remote/dispatcher/state_contracting_view/4197903", "UA-2020-04-28-001412-b-b1")</f>
        <v/>
      </c>
      <c r="E227" t="s" s="1">
        <v>2215</v>
      </c>
      <c r="F227" t="s" s="1">
        <v>3510</v>
      </c>
      <c r="G227" t="s" s="1">
        <v>3510</v>
      </c>
      <c r="H227" t="s" s="1">
        <v>445</v>
      </c>
      <c r="I227" t="s" s="1">
        <v>2361</v>
      </c>
      <c r="J227" t="s" s="1">
        <v>3417</v>
      </c>
      <c r="K227" t="s" s="1">
        <v>950</v>
      </c>
      <c r="L227" t="s" s="1">
        <v>3177</v>
      </c>
      <c r="M227" t="n" s="5">
        <v>4450.0</v>
      </c>
      <c r="N227" t="n" s="7">
        <v>43949.0</v>
      </c>
      <c r="O227" t="n" s="7">
        <v>44196.0</v>
      </c>
      <c r="P227" t="s" s="1">
        <v>3499</v>
      </c>
    </row>
    <row r="228" spans="1:16">
      <c r="A228" t="n" s="4">
        <v>223</v>
      </c>
      <c r="B228" s="2">
        <f>HYPERLINK("https://my.zakupki.prom.ua/remote/dispatcher/state_purchase_view/15675222", "UA-2020-03-10-001443-a")</f>
        <v/>
      </c>
      <c r="C228" t="s" s="2">
        <v>3245</v>
      </c>
      <c r="D228" s="2">
        <f>HYPERLINK("https://my.zakupki.prom.ua/remote/dispatcher/state_contracting_view/3911570", "UA-2020-03-10-001443-a-a1")</f>
        <v/>
      </c>
      <c r="E228" t="s" s="1">
        <v>540</v>
      </c>
      <c r="F228" t="s" s="1">
        <v>3336</v>
      </c>
      <c r="G228" t="s" s="1">
        <v>3336</v>
      </c>
      <c r="H228" t="s" s="1">
        <v>728</v>
      </c>
      <c r="I228" t="s" s="1">
        <v>2361</v>
      </c>
      <c r="J228" t="s" s="1">
        <v>3409</v>
      </c>
      <c r="K228" t="s" s="1">
        <v>823</v>
      </c>
      <c r="L228" t="s" s="1">
        <v>1158</v>
      </c>
      <c r="M228" t="n" s="5">
        <v>815.34</v>
      </c>
      <c r="N228" t="n" s="7">
        <v>43900.0</v>
      </c>
      <c r="O228" t="n" s="7">
        <v>44196.0</v>
      </c>
      <c r="P228" t="s" s="1">
        <v>3499</v>
      </c>
    </row>
    <row r="229" spans="1:16">
      <c r="A229" t="n" s="4">
        <v>224</v>
      </c>
      <c r="B229" s="2">
        <f>HYPERLINK("https://my.zakupki.prom.ua/remote/dispatcher/state_purchase_view/15396071", "UA-2020-02-20-001845-b")</f>
        <v/>
      </c>
      <c r="C229" t="s" s="2">
        <v>3245</v>
      </c>
      <c r="D229" s="2">
        <f>HYPERLINK("https://my.zakupki.prom.ua/remote/dispatcher/state_contracting_view/3829877", "UA-2020-02-20-001845-b-b1")</f>
        <v/>
      </c>
      <c r="E229" t="s" s="1">
        <v>1722</v>
      </c>
      <c r="F229" t="s" s="1">
        <v>1018</v>
      </c>
      <c r="G229" t="s" s="1">
        <v>1018</v>
      </c>
      <c r="H229" t="s" s="1">
        <v>1017</v>
      </c>
      <c r="I229" t="s" s="1">
        <v>2361</v>
      </c>
      <c r="J229" t="s" s="1">
        <v>3308</v>
      </c>
      <c r="K229" t="s" s="1">
        <v>462</v>
      </c>
      <c r="L229" t="s" s="1">
        <v>748</v>
      </c>
      <c r="M229" t="n" s="5">
        <v>8232.0</v>
      </c>
      <c r="N229" t="n" s="7">
        <v>43881.0</v>
      </c>
      <c r="O229" t="n" s="7">
        <v>44196.0</v>
      </c>
      <c r="P229" t="s" s="1">
        <v>3499</v>
      </c>
    </row>
    <row r="230" spans="1:16">
      <c r="A230" t="n" s="4">
        <v>225</v>
      </c>
      <c r="B230" s="2">
        <f>HYPERLINK("https://my.zakupki.prom.ua/remote/dispatcher/state_purchase_view/17033263", "UA-2020-06-03-007315-b")</f>
        <v/>
      </c>
      <c r="C230" t="s" s="2">
        <v>3245</v>
      </c>
      <c r="D230" s="2">
        <f>HYPERLINK("https://my.zakupki.prom.ua/remote/dispatcher/state_contracting_view/4437835", "UA-2020-06-03-007315-b-b1")</f>
        <v/>
      </c>
      <c r="E230" t="s" s="1">
        <v>36</v>
      </c>
      <c r="F230" t="s" s="1">
        <v>2300</v>
      </c>
      <c r="G230" t="s" s="1">
        <v>2300</v>
      </c>
      <c r="H230" t="s" s="1">
        <v>1003</v>
      </c>
      <c r="I230" t="s" s="1">
        <v>2361</v>
      </c>
      <c r="J230" t="s" s="1">
        <v>3443</v>
      </c>
      <c r="K230" t="s" s="1">
        <v>486</v>
      </c>
      <c r="L230" t="s" s="1">
        <v>245</v>
      </c>
      <c r="M230" t="n" s="5">
        <v>44071.7</v>
      </c>
      <c r="N230" t="n" s="7">
        <v>43984.0</v>
      </c>
      <c r="O230" t="n" s="7">
        <v>44196.0</v>
      </c>
      <c r="P230" t="s" s="1">
        <v>3499</v>
      </c>
    </row>
    <row r="231" spans="1:16">
      <c r="A231" t="n" s="4">
        <v>226</v>
      </c>
      <c r="B231" s="2">
        <f>HYPERLINK("https://my.zakupki.prom.ua/remote/dispatcher/state_purchase_view/16906364", "UA-2020-05-27-008691-b")</f>
        <v/>
      </c>
      <c r="C231" t="s" s="2">
        <v>3245</v>
      </c>
      <c r="D231" s="2">
        <f>HYPERLINK("https://my.zakupki.prom.ua/remote/dispatcher/state_contracting_view/4382907", "UA-2020-05-27-008691-b-b1")</f>
        <v/>
      </c>
      <c r="E231" t="s" s="1">
        <v>1921</v>
      </c>
      <c r="F231" t="s" s="1">
        <v>2412</v>
      </c>
      <c r="G231" t="s" s="1">
        <v>3340</v>
      </c>
      <c r="H231" t="s" s="1">
        <v>690</v>
      </c>
      <c r="I231" t="s" s="1">
        <v>2361</v>
      </c>
      <c r="J231" t="s" s="1">
        <v>3392</v>
      </c>
      <c r="K231" t="s" s="1">
        <v>428</v>
      </c>
      <c r="L231" t="s" s="1">
        <v>237</v>
      </c>
      <c r="M231" t="n" s="5">
        <v>28600.0</v>
      </c>
      <c r="N231" t="n" s="7">
        <v>43977.0</v>
      </c>
      <c r="O231" t="n" s="7">
        <v>44196.0</v>
      </c>
      <c r="P231" t="s" s="1">
        <v>3499</v>
      </c>
    </row>
    <row r="232" spans="1:16">
      <c r="A232" t="n" s="4">
        <v>227</v>
      </c>
      <c r="B232" s="2">
        <f>HYPERLINK("https://my.zakupki.prom.ua/remote/dispatcher/state_purchase_view/16933056", "UA-2020-05-29-001353-b")</f>
        <v/>
      </c>
      <c r="C232" t="s" s="2">
        <v>3245</v>
      </c>
      <c r="D232" s="2">
        <f>HYPERLINK("https://my.zakupki.prom.ua/remote/dispatcher/state_contracting_view/4392987", "UA-2020-05-29-001353-b-b1")</f>
        <v/>
      </c>
      <c r="E232" t="s" s="1">
        <v>2148</v>
      </c>
      <c r="F232" t="s" s="1">
        <v>2300</v>
      </c>
      <c r="G232" t="s" s="1">
        <v>2300</v>
      </c>
      <c r="H232" t="s" s="1">
        <v>1003</v>
      </c>
      <c r="I232" t="s" s="1">
        <v>2361</v>
      </c>
      <c r="J232" t="s" s="1">
        <v>3393</v>
      </c>
      <c r="K232" t="s" s="1">
        <v>671</v>
      </c>
      <c r="L232" t="s" s="1">
        <v>522</v>
      </c>
      <c r="M232" t="n" s="5">
        <v>5275.86</v>
      </c>
      <c r="N232" t="n" s="7">
        <v>43979.0</v>
      </c>
      <c r="O232" t="n" s="7">
        <v>44196.0</v>
      </c>
      <c r="P232" t="s" s="1">
        <v>3499</v>
      </c>
    </row>
    <row r="233" spans="1:16">
      <c r="A233" t="n" s="4">
        <v>228</v>
      </c>
      <c r="B233" s="2">
        <f>HYPERLINK("https://my.zakupki.prom.ua/remote/dispatcher/state_purchase_view/16752075", "UA-2020-05-19-005932-c")</f>
        <v/>
      </c>
      <c r="C233" t="s" s="2">
        <v>3245</v>
      </c>
      <c r="D233" s="2">
        <f>HYPERLINK("https://my.zakupki.prom.ua/remote/dispatcher/state_contracting_view/4310437", "UA-2020-05-19-005932-c-c1")</f>
        <v/>
      </c>
      <c r="E233" t="s" s="1">
        <v>1361</v>
      </c>
      <c r="F233" t="s" s="1">
        <v>2460</v>
      </c>
      <c r="G233" t="s" s="1">
        <v>3453</v>
      </c>
      <c r="H233" t="s" s="1">
        <v>718</v>
      </c>
      <c r="I233" t="s" s="1">
        <v>2361</v>
      </c>
      <c r="J233" t="s" s="1">
        <v>3392</v>
      </c>
      <c r="K233" t="s" s="1">
        <v>428</v>
      </c>
      <c r="L233" t="s" s="1">
        <v>204</v>
      </c>
      <c r="M233" t="n" s="5">
        <v>219.4</v>
      </c>
      <c r="N233" t="n" s="7">
        <v>43969.0</v>
      </c>
      <c r="O233" t="n" s="7">
        <v>44196.0</v>
      </c>
      <c r="P233" t="s" s="1">
        <v>3499</v>
      </c>
    </row>
    <row r="234" spans="1:16">
      <c r="A234" t="n" s="4">
        <v>229</v>
      </c>
      <c r="B234" s="2">
        <f>HYPERLINK("https://my.zakupki.prom.ua/remote/dispatcher/state_purchase_view/16751896", "UA-2020-05-19-005890-c")</f>
        <v/>
      </c>
      <c r="C234" t="s" s="2">
        <v>3245</v>
      </c>
      <c r="D234" s="2">
        <f>HYPERLINK("https://my.zakupki.prom.ua/remote/dispatcher/state_contracting_view/4310494", "UA-2020-05-19-005890-c-c1")</f>
        <v/>
      </c>
      <c r="E234" t="s" s="1">
        <v>1126</v>
      </c>
      <c r="F234" t="s" s="1">
        <v>2456</v>
      </c>
      <c r="G234" t="s" s="1">
        <v>3452</v>
      </c>
      <c r="H234" t="s" s="1">
        <v>718</v>
      </c>
      <c r="I234" t="s" s="1">
        <v>2361</v>
      </c>
      <c r="J234" t="s" s="1">
        <v>3392</v>
      </c>
      <c r="K234" t="s" s="1">
        <v>428</v>
      </c>
      <c r="L234" t="s" s="1">
        <v>202</v>
      </c>
      <c r="M234" t="n" s="5">
        <v>795.3</v>
      </c>
      <c r="N234" t="n" s="7">
        <v>43969.0</v>
      </c>
      <c r="O234" t="n" s="7">
        <v>44196.0</v>
      </c>
      <c r="P234" t="s" s="1">
        <v>3499</v>
      </c>
    </row>
    <row r="235" spans="1:16">
      <c r="A235" t="n" s="4">
        <v>230</v>
      </c>
      <c r="B235" s="2">
        <f>HYPERLINK("https://my.zakupki.prom.ua/remote/dispatcher/state_purchase_view/17035561", "UA-2020-06-03-007859-b")</f>
        <v/>
      </c>
      <c r="C235" t="s" s="2">
        <v>3245</v>
      </c>
      <c r="D235" s="2">
        <f>HYPERLINK("https://my.zakupki.prom.ua/remote/dispatcher/state_contracting_view/4439048", "UA-2020-06-03-007859-b-b1")</f>
        <v/>
      </c>
      <c r="E235" t="s" s="1">
        <v>2227</v>
      </c>
      <c r="F235" t="s" s="1">
        <v>2434</v>
      </c>
      <c r="G235" t="s" s="1">
        <v>2434</v>
      </c>
      <c r="H235" t="s" s="1">
        <v>690</v>
      </c>
      <c r="I235" t="s" s="1">
        <v>2361</v>
      </c>
      <c r="J235" t="s" s="1">
        <v>3392</v>
      </c>
      <c r="K235" t="s" s="1">
        <v>428</v>
      </c>
      <c r="L235" t="s" s="1">
        <v>250</v>
      </c>
      <c r="M235" t="n" s="5">
        <v>2096.8</v>
      </c>
      <c r="N235" t="n" s="7">
        <v>43983.0</v>
      </c>
      <c r="O235" t="n" s="7">
        <v>44196.0</v>
      </c>
      <c r="P235" t="s" s="1">
        <v>3499</v>
      </c>
    </row>
    <row r="236" spans="1:16">
      <c r="A236" t="n" s="4">
        <v>231</v>
      </c>
      <c r="B236" s="2">
        <f>HYPERLINK("https://my.zakupki.prom.ua/remote/dispatcher/state_purchase_view/16170806", "UA-2020-04-08-003016-b")</f>
        <v/>
      </c>
      <c r="C236" t="s" s="2">
        <v>3245</v>
      </c>
      <c r="D236" s="2">
        <f>HYPERLINK("https://my.zakupki.prom.ua/remote/dispatcher/state_contracting_view/4075663", "UA-2020-04-08-003016-b-b1")</f>
        <v/>
      </c>
      <c r="E236" t="s" s="1">
        <v>1898</v>
      </c>
      <c r="F236" t="s" s="1">
        <v>2302</v>
      </c>
      <c r="G236" t="s" s="1">
        <v>2302</v>
      </c>
      <c r="H236" t="s" s="1">
        <v>1003</v>
      </c>
      <c r="I236" t="s" s="1">
        <v>2361</v>
      </c>
      <c r="J236" t="s" s="1">
        <v>2376</v>
      </c>
      <c r="K236" t="s" s="1">
        <v>498</v>
      </c>
      <c r="L236" t="s" s="1">
        <v>127</v>
      </c>
      <c r="M236" t="n" s="5">
        <v>8131.0</v>
      </c>
      <c r="N236" t="n" s="7">
        <v>43929.0</v>
      </c>
      <c r="O236" t="n" s="7">
        <v>44196.0</v>
      </c>
      <c r="P236" t="s" s="1">
        <v>3499</v>
      </c>
    </row>
    <row r="237" spans="1:16">
      <c r="A237" t="n" s="4">
        <v>232</v>
      </c>
      <c r="B237" s="2">
        <f>HYPERLINK("https://my.zakupki.prom.ua/remote/dispatcher/state_purchase_view/16726055", "UA-2020-05-18-005260-c")</f>
        <v/>
      </c>
      <c r="C237" t="s" s="2">
        <v>3245</v>
      </c>
      <c r="D237" s="2">
        <f>HYPERLINK("https://my.zakupki.prom.ua/remote/dispatcher/state_contracting_view/4298716", "UA-2020-05-18-005260-c-c1")</f>
        <v/>
      </c>
      <c r="E237" t="s" s="1">
        <v>99</v>
      </c>
      <c r="F237" t="s" s="1">
        <v>870</v>
      </c>
      <c r="G237" t="s" s="1">
        <v>870</v>
      </c>
      <c r="H237" t="s" s="1">
        <v>868</v>
      </c>
      <c r="I237" t="s" s="1">
        <v>2361</v>
      </c>
      <c r="J237" t="s" s="1">
        <v>3393</v>
      </c>
      <c r="K237" t="s" s="1">
        <v>671</v>
      </c>
      <c r="L237" t="s" s="1">
        <v>435</v>
      </c>
      <c r="M237" t="n" s="5">
        <v>5068.98</v>
      </c>
      <c r="N237" t="n" s="7">
        <v>43969.0</v>
      </c>
      <c r="O237" t="n" s="7">
        <v>44196.0</v>
      </c>
      <c r="P237" t="s" s="1">
        <v>3499</v>
      </c>
    </row>
    <row r="238" spans="1:16">
      <c r="A238" t="n" s="4">
        <v>233</v>
      </c>
      <c r="B238" s="2">
        <f>HYPERLINK("https://my.zakupki.prom.ua/remote/dispatcher/state_purchase_view/16726730", "UA-2020-05-18-005455-c")</f>
        <v/>
      </c>
      <c r="C238" t="s" s="2">
        <v>3245</v>
      </c>
      <c r="D238" s="2">
        <f>HYPERLINK("https://my.zakupki.prom.ua/remote/dispatcher/state_contracting_view/4298981", "UA-2020-05-18-005455-c-c1")</f>
        <v/>
      </c>
      <c r="E238" t="s" s="1">
        <v>758</v>
      </c>
      <c r="F238" t="s" s="1">
        <v>3512</v>
      </c>
      <c r="G238" t="s" s="1">
        <v>3512</v>
      </c>
      <c r="H238" t="s" s="1">
        <v>703</v>
      </c>
      <c r="I238" t="s" s="1">
        <v>2361</v>
      </c>
      <c r="J238" t="s" s="1">
        <v>3392</v>
      </c>
      <c r="K238" t="s" s="1">
        <v>428</v>
      </c>
      <c r="L238" t="s" s="1">
        <v>196</v>
      </c>
      <c r="M238" t="n" s="5">
        <v>1188.0</v>
      </c>
      <c r="N238" t="n" s="7">
        <v>43969.0</v>
      </c>
      <c r="O238" t="n" s="7">
        <v>44196.0</v>
      </c>
      <c r="P238" t="s" s="1">
        <v>3499</v>
      </c>
    </row>
    <row r="239" spans="1:16">
      <c r="A239" t="n" s="4">
        <v>234</v>
      </c>
      <c r="B239" s="2">
        <f>HYPERLINK("https://my.zakupki.prom.ua/remote/dispatcher/state_purchase_view/16827600", "UA-2020-05-22-006163-c")</f>
        <v/>
      </c>
      <c r="C239" t="s" s="2">
        <v>3245</v>
      </c>
      <c r="D239" s="2">
        <f>HYPERLINK("https://my.zakupki.prom.ua/remote/dispatcher/state_contracting_view/4725481", "UA-2020-05-22-006163-c-c1")</f>
        <v/>
      </c>
      <c r="E239" t="s" s="1">
        <v>2199</v>
      </c>
      <c r="F239" t="s" s="1">
        <v>3332</v>
      </c>
      <c r="G239" t="s" s="1">
        <v>3331</v>
      </c>
      <c r="H239" t="s" s="1">
        <v>688</v>
      </c>
      <c r="I239" t="s" s="1">
        <v>2311</v>
      </c>
      <c r="J239" t="s" s="1">
        <v>3372</v>
      </c>
      <c r="K239" t="s" s="1">
        <v>343</v>
      </c>
      <c r="L239" t="s" s="1">
        <v>101</v>
      </c>
      <c r="M239" t="n" s="5">
        <v>250380.0</v>
      </c>
      <c r="N239" t="n" s="7">
        <v>44015.0</v>
      </c>
      <c r="O239" t="n" s="7">
        <v>44196.0</v>
      </c>
      <c r="P239" t="s" s="1">
        <v>3499</v>
      </c>
    </row>
    <row r="240" spans="1:16">
      <c r="A240" t="n" s="4">
        <v>235</v>
      </c>
      <c r="B240" s="2">
        <f>HYPERLINK("https://my.zakupki.prom.ua/remote/dispatcher/state_purchase_view/17564826", "UA-2020-06-30-005995-a")</f>
        <v/>
      </c>
      <c r="C240" t="s" s="2">
        <v>3245</v>
      </c>
      <c r="D240" s="2">
        <f>HYPERLINK("https://my.zakupki.prom.ua/remote/dispatcher/state_contracting_view/4685493", "UA-2020-06-30-005995-a-a1")</f>
        <v/>
      </c>
      <c r="E240" t="s" s="1">
        <v>2109</v>
      </c>
      <c r="F240" t="s" s="1">
        <v>2472</v>
      </c>
      <c r="G240" t="s" s="1">
        <v>2472</v>
      </c>
      <c r="H240" t="s" s="1">
        <v>718</v>
      </c>
      <c r="I240" t="s" s="1">
        <v>2361</v>
      </c>
      <c r="J240" t="s" s="1">
        <v>3392</v>
      </c>
      <c r="K240" t="s" s="1">
        <v>428</v>
      </c>
      <c r="L240" t="s" s="1">
        <v>430</v>
      </c>
      <c r="M240" t="n" s="5">
        <v>1768.34</v>
      </c>
      <c r="N240" t="n" s="7">
        <v>44008.0</v>
      </c>
      <c r="O240" t="n" s="7">
        <v>44196.0</v>
      </c>
      <c r="P240" t="s" s="1">
        <v>3499</v>
      </c>
    </row>
    <row r="241" spans="1:16">
      <c r="A241" t="n" s="4">
        <v>236</v>
      </c>
      <c r="B241" s="2">
        <f>HYPERLINK("https://my.zakupki.prom.ua/remote/dispatcher/state_purchase_view/17887759", "UA-2020-07-15-003038-c")</f>
        <v/>
      </c>
      <c r="C241" t="s" s="2">
        <v>3245</v>
      </c>
      <c r="D241" s="2">
        <f>HYPERLINK("https://my.zakupki.prom.ua/remote/dispatcher/state_contracting_view/4833032", "UA-2020-07-15-003038-c-c1")</f>
        <v/>
      </c>
      <c r="E241" t="s" s="1">
        <v>1507</v>
      </c>
      <c r="F241" t="s" s="1">
        <v>2573</v>
      </c>
      <c r="G241" t="s" s="1">
        <v>2573</v>
      </c>
      <c r="H241" t="s" s="1">
        <v>219</v>
      </c>
      <c r="I241" t="s" s="1">
        <v>2361</v>
      </c>
      <c r="J241" t="s" s="1">
        <v>3467</v>
      </c>
      <c r="K241" t="s" s="1">
        <v>766</v>
      </c>
      <c r="L241" t="s" s="1">
        <v>672</v>
      </c>
      <c r="M241" t="n" s="5">
        <v>5165.75</v>
      </c>
      <c r="N241" t="n" s="7">
        <v>44026.0</v>
      </c>
      <c r="O241" t="n" s="7">
        <v>44196.0</v>
      </c>
      <c r="P241" t="s" s="1">
        <v>3499</v>
      </c>
    </row>
    <row r="242" spans="1:16">
      <c r="A242" t="n" s="4">
        <v>237</v>
      </c>
      <c r="B242" s="2">
        <f>HYPERLINK("https://my.zakupki.prom.ua/remote/dispatcher/state_purchase_view/18098512", "UA-2020-07-24-003264-b")</f>
        <v/>
      </c>
      <c r="C242" t="s" s="2">
        <v>3245</v>
      </c>
      <c r="D242" s="2">
        <f>HYPERLINK("https://my.zakupki.prom.ua/remote/dispatcher/state_contracting_view/4933094", "UA-2020-07-24-003264-b-b1")</f>
        <v/>
      </c>
      <c r="E242" t="s" s="1">
        <v>1713</v>
      </c>
      <c r="F242" t="s" s="1">
        <v>2851</v>
      </c>
      <c r="G242" t="s" s="1">
        <v>2850</v>
      </c>
      <c r="H242" t="s" s="1">
        <v>718</v>
      </c>
      <c r="I242" t="s" s="1">
        <v>2361</v>
      </c>
      <c r="J242" t="s" s="1">
        <v>3392</v>
      </c>
      <c r="K242" t="s" s="1">
        <v>428</v>
      </c>
      <c r="L242" t="s" s="1">
        <v>811</v>
      </c>
      <c r="M242" t="n" s="5">
        <v>1201.04</v>
      </c>
      <c r="N242" t="n" s="7">
        <v>44035.0</v>
      </c>
      <c r="O242" t="n" s="7">
        <v>44196.0</v>
      </c>
      <c r="P242" t="s" s="1">
        <v>3499</v>
      </c>
    </row>
    <row r="243" spans="1:16">
      <c r="A243" t="n" s="4">
        <v>238</v>
      </c>
      <c r="B243" s="2">
        <f>HYPERLINK("https://my.zakupki.prom.ua/remote/dispatcher/state_purchase_view/19231570", "UA-2020-09-14-000592-b")</f>
        <v/>
      </c>
      <c r="C243" t="s" s="2">
        <v>3245</v>
      </c>
      <c r="D243" s="2">
        <f>HYPERLINK("https://my.zakupki.prom.ua/remote/dispatcher/state_contracting_view/5466015", "UA-2020-09-14-000592-b-b1")</f>
        <v/>
      </c>
      <c r="E243" t="s" s="1">
        <v>550</v>
      </c>
      <c r="F243" t="s" s="1">
        <v>2699</v>
      </c>
      <c r="G243" t="s" s="1">
        <v>2699</v>
      </c>
      <c r="H243" t="s" s="1">
        <v>603</v>
      </c>
      <c r="I243" t="s" s="1">
        <v>2361</v>
      </c>
      <c r="J243" t="s" s="1">
        <v>3384</v>
      </c>
      <c r="K243" t="s" s="1">
        <v>930</v>
      </c>
      <c r="L243" t="s" s="1">
        <v>113</v>
      </c>
      <c r="M243" t="n" s="5">
        <v>200.0</v>
      </c>
      <c r="N243" t="n" s="7">
        <v>44085.0</v>
      </c>
      <c r="O243" t="n" s="7">
        <v>44196.0</v>
      </c>
      <c r="P243" t="s" s="1">
        <v>3499</v>
      </c>
    </row>
    <row r="244" spans="1:16">
      <c r="A244" t="n" s="4">
        <v>239</v>
      </c>
      <c r="B244" s="2">
        <f>HYPERLINK("https://my.zakupki.prom.ua/remote/dispatcher/state_purchase_view/19347928", "UA-2020-09-17-001894-a")</f>
        <v/>
      </c>
      <c r="C244" t="s" s="2">
        <v>3245</v>
      </c>
      <c r="D244" s="2">
        <f>HYPERLINK("https://my.zakupki.prom.ua/remote/dispatcher/state_contracting_view/5520975", "UA-2020-09-17-001894-a-a1")</f>
        <v/>
      </c>
      <c r="E244" t="s" s="1">
        <v>1473</v>
      </c>
      <c r="F244" t="s" s="1">
        <v>2547</v>
      </c>
      <c r="G244" t="s" s="1">
        <v>2547</v>
      </c>
      <c r="H244" t="s" s="1">
        <v>209</v>
      </c>
      <c r="I244" t="s" s="1">
        <v>2361</v>
      </c>
      <c r="J244" t="s" s="1">
        <v>3467</v>
      </c>
      <c r="K244" t="s" s="1">
        <v>766</v>
      </c>
      <c r="L244" t="s" s="1">
        <v>1327</v>
      </c>
      <c r="M244" t="n" s="5">
        <v>3995.0</v>
      </c>
      <c r="N244" t="n" s="7">
        <v>44089.0</v>
      </c>
      <c r="O244" t="n" s="7">
        <v>44196.0</v>
      </c>
      <c r="P244" t="s" s="1">
        <v>3499</v>
      </c>
    </row>
    <row r="245" spans="1:16">
      <c r="A245" t="n" s="4">
        <v>240</v>
      </c>
      <c r="B245" s="2">
        <f>HYPERLINK("https://my.zakupki.prom.ua/remote/dispatcher/state_purchase_view/19113087", "UA-2020-09-09-000407-b")</f>
        <v/>
      </c>
      <c r="C245" t="s" s="2">
        <v>3245</v>
      </c>
      <c r="D245" s="2">
        <f>HYPERLINK("https://my.zakupki.prom.ua/remote/dispatcher/state_contracting_view/5409740", "UA-2020-09-09-000407-b-b1")</f>
        <v/>
      </c>
      <c r="E245" t="s" s="1">
        <v>743</v>
      </c>
      <c r="F245" t="s" s="1">
        <v>2540</v>
      </c>
      <c r="G245" t="s" s="1">
        <v>2540</v>
      </c>
      <c r="H245" t="s" s="1">
        <v>207</v>
      </c>
      <c r="I245" t="s" s="1">
        <v>2361</v>
      </c>
      <c r="J245" t="s" s="1">
        <v>3467</v>
      </c>
      <c r="K245" t="s" s="1">
        <v>766</v>
      </c>
      <c r="L245" t="s" s="1">
        <v>1245</v>
      </c>
      <c r="M245" t="n" s="5">
        <v>16120.0</v>
      </c>
      <c r="N245" t="n" s="7">
        <v>44081.0</v>
      </c>
      <c r="O245" t="n" s="7">
        <v>44196.0</v>
      </c>
      <c r="P245" t="s" s="1">
        <v>3499</v>
      </c>
    </row>
    <row r="246" spans="1:16">
      <c r="A246" t="n" s="4">
        <v>241</v>
      </c>
      <c r="B246" s="2">
        <f>HYPERLINK("https://my.zakupki.prom.ua/remote/dispatcher/state_purchase_view/19373284", "UA-2020-09-17-008846-a")</f>
        <v/>
      </c>
      <c r="C246" t="s" s="2">
        <v>3245</v>
      </c>
      <c r="D246" s="2">
        <f>HYPERLINK("https://my.zakupki.prom.ua/remote/dispatcher/state_contracting_view/5534687", "UA-2020-09-17-008846-a-a1")</f>
        <v/>
      </c>
      <c r="E246" t="s" s="1">
        <v>2039</v>
      </c>
      <c r="F246" t="s" s="1">
        <v>755</v>
      </c>
      <c r="G246" t="s" s="1">
        <v>755</v>
      </c>
      <c r="H246" t="s" s="1">
        <v>755</v>
      </c>
      <c r="I246" t="s" s="1">
        <v>2361</v>
      </c>
      <c r="J246" t="s" s="1">
        <v>3374</v>
      </c>
      <c r="K246" t="s" s="1">
        <v>184</v>
      </c>
      <c r="L246" t="s" s="1">
        <v>1350</v>
      </c>
      <c r="M246" t="n" s="5">
        <v>5026.9</v>
      </c>
      <c r="N246" t="n" s="7">
        <v>44091.0</v>
      </c>
      <c r="O246" t="n" s="7">
        <v>44196.0</v>
      </c>
      <c r="P246" t="s" s="1">
        <v>3499</v>
      </c>
    </row>
    <row r="247" spans="1:16">
      <c r="A247" t="n" s="4">
        <v>242</v>
      </c>
      <c r="B247" s="2">
        <f>HYPERLINK("https://my.zakupki.prom.ua/remote/dispatcher/state_purchase_view/17354460", "UA-2020-06-18-008195-c")</f>
        <v/>
      </c>
      <c r="C247" t="s" s="2">
        <v>3245</v>
      </c>
      <c r="D247" s="2">
        <f>HYPERLINK("https://my.zakupki.prom.ua/remote/dispatcher/state_contracting_view/4585656", "UA-2020-06-18-008195-c-c1")</f>
        <v/>
      </c>
      <c r="E247" t="s" s="1">
        <v>1407</v>
      </c>
      <c r="F247" t="s" s="1">
        <v>2477</v>
      </c>
      <c r="G247" t="s" s="1">
        <v>2477</v>
      </c>
      <c r="H247" t="s" s="1">
        <v>718</v>
      </c>
      <c r="I247" t="s" s="1">
        <v>2361</v>
      </c>
      <c r="J247" t="s" s="1">
        <v>3392</v>
      </c>
      <c r="K247" t="s" s="1">
        <v>428</v>
      </c>
      <c r="L247" t="s" s="1">
        <v>356</v>
      </c>
      <c r="M247" t="n" s="5">
        <v>13209.5</v>
      </c>
      <c r="N247" t="n" s="7">
        <v>43998.0</v>
      </c>
      <c r="O247" t="n" s="7">
        <v>44196.0</v>
      </c>
      <c r="P247" t="s" s="1">
        <v>3499</v>
      </c>
    </row>
    <row r="248" spans="1:16">
      <c r="A248" t="n" s="4">
        <v>243</v>
      </c>
      <c r="B248" s="2">
        <f>HYPERLINK("https://my.zakupki.prom.ua/remote/dispatcher/state_purchase_view/17391991", "UA-2020-06-22-000957-c")</f>
        <v/>
      </c>
      <c r="C248" t="s" s="2">
        <v>3245</v>
      </c>
      <c r="D248" s="2">
        <f>HYPERLINK("https://my.zakupki.prom.ua/remote/dispatcher/state_contracting_view/4603202", "UA-2020-06-22-000957-c-c1")</f>
        <v/>
      </c>
      <c r="E248" t="s" s="1">
        <v>747</v>
      </c>
      <c r="F248" t="s" s="1">
        <v>2339</v>
      </c>
      <c r="G248" t="s" s="1">
        <v>2339</v>
      </c>
      <c r="H248" t="s" s="1">
        <v>742</v>
      </c>
      <c r="I248" t="s" s="1">
        <v>2361</v>
      </c>
      <c r="J248" t="s" s="1">
        <v>3403</v>
      </c>
      <c r="K248" t="s" s="1">
        <v>771</v>
      </c>
      <c r="L248" t="s" s="1">
        <v>362</v>
      </c>
      <c r="M248" t="n" s="5">
        <v>3000.0</v>
      </c>
      <c r="N248" t="n" s="7">
        <v>44000.0</v>
      </c>
      <c r="O248" t="n" s="7">
        <v>44196.0</v>
      </c>
      <c r="P248" t="s" s="1">
        <v>3499</v>
      </c>
    </row>
    <row r="249" spans="1:16">
      <c r="A249" t="n" s="4">
        <v>244</v>
      </c>
      <c r="B249" s="2">
        <f>HYPERLINK("https://my.zakupki.prom.ua/remote/dispatcher/state_purchase_view/17443664", "UA-2020-06-23-005897-a")</f>
        <v/>
      </c>
      <c r="C249" t="s" s="2">
        <v>3245</v>
      </c>
      <c r="D249" s="2">
        <f>HYPERLINK("https://my.zakupki.prom.ua/remote/dispatcher/state_contracting_view/4630532", "UA-2020-06-23-005897-a-a1")</f>
        <v/>
      </c>
      <c r="E249" t="s" s="1">
        <v>2023</v>
      </c>
      <c r="F249" t="s" s="1">
        <v>2465</v>
      </c>
      <c r="G249" t="s" s="1">
        <v>2465</v>
      </c>
      <c r="H249" t="s" s="1">
        <v>718</v>
      </c>
      <c r="I249" t="s" s="1">
        <v>2361</v>
      </c>
      <c r="J249" t="s" s="1">
        <v>3392</v>
      </c>
      <c r="K249" t="s" s="1">
        <v>428</v>
      </c>
      <c r="L249" t="s" s="1">
        <v>374</v>
      </c>
      <c r="M249" t="n" s="5">
        <v>1296.83</v>
      </c>
      <c r="N249" t="n" s="7">
        <v>44004.0</v>
      </c>
      <c r="O249" t="n" s="7">
        <v>44196.0</v>
      </c>
      <c r="P249" t="s" s="1">
        <v>3499</v>
      </c>
    </row>
    <row r="250" spans="1:16">
      <c r="A250" t="n" s="4">
        <v>245</v>
      </c>
      <c r="B250" s="2">
        <f>HYPERLINK("https://my.zakupki.prom.ua/remote/dispatcher/state_purchase_view/17771040", "UA-2020-07-09-005828-c")</f>
        <v/>
      </c>
      <c r="C250" t="s" s="2">
        <v>3245</v>
      </c>
      <c r="D250" s="2">
        <f>HYPERLINK("https://my.zakupki.prom.ua/remote/dispatcher/state_contracting_view/4779243", "UA-2020-07-09-005828-c-c1")</f>
        <v/>
      </c>
      <c r="E250" t="s" s="1">
        <v>1369</v>
      </c>
      <c r="F250" t="s" s="1">
        <v>2539</v>
      </c>
      <c r="G250" t="s" s="1">
        <v>2539</v>
      </c>
      <c r="H250" t="s" s="1">
        <v>207</v>
      </c>
      <c r="I250" t="s" s="1">
        <v>2361</v>
      </c>
      <c r="J250" t="s" s="1">
        <v>3467</v>
      </c>
      <c r="K250" t="s" s="1">
        <v>766</v>
      </c>
      <c r="L250" t="s" s="1">
        <v>589</v>
      </c>
      <c r="M250" t="n" s="5">
        <v>14803.2</v>
      </c>
      <c r="N250" t="n" s="7">
        <v>44019.0</v>
      </c>
      <c r="O250" t="n" s="7">
        <v>44196.0</v>
      </c>
      <c r="P250" t="s" s="1">
        <v>3499</v>
      </c>
    </row>
    <row r="251" spans="1:16">
      <c r="A251" t="n" s="4">
        <v>246</v>
      </c>
      <c r="B251" s="2">
        <f>HYPERLINK("https://my.zakupki.prom.ua/remote/dispatcher/state_purchase_view/17610497", "UA-2020-07-02-005633-a")</f>
        <v/>
      </c>
      <c r="C251" t="s" s="2">
        <v>3245</v>
      </c>
      <c r="D251" s="2">
        <f>HYPERLINK("https://my.zakupki.prom.ua/remote/dispatcher/state_contracting_view/4704839", "UA-2020-07-02-005633-a-a1")</f>
        <v/>
      </c>
      <c r="E251" t="s" s="1">
        <v>2123</v>
      </c>
      <c r="F251" t="s" s="1">
        <v>2772</v>
      </c>
      <c r="G251" t="s" s="1">
        <v>2772</v>
      </c>
      <c r="H251" t="s" s="1">
        <v>690</v>
      </c>
      <c r="I251" t="s" s="1">
        <v>2361</v>
      </c>
      <c r="J251" t="s" s="1">
        <v>3392</v>
      </c>
      <c r="K251" t="s" s="1">
        <v>428</v>
      </c>
      <c r="L251" t="s" s="1">
        <v>463</v>
      </c>
      <c r="M251" t="n" s="5">
        <v>58499.6</v>
      </c>
      <c r="N251" t="n" s="7">
        <v>44013.0</v>
      </c>
      <c r="O251" t="n" s="7">
        <v>44196.0</v>
      </c>
      <c r="P251" t="s" s="1">
        <v>3499</v>
      </c>
    </row>
    <row r="252" spans="1:16">
      <c r="A252" t="n" s="4">
        <v>247</v>
      </c>
      <c r="B252" s="2">
        <f>HYPERLINK("https://my.zakupki.prom.ua/remote/dispatcher/state_purchase_view/17420927", "UA-2020-06-22-008597-c")</f>
        <v/>
      </c>
      <c r="C252" t="s" s="2">
        <v>3245</v>
      </c>
      <c r="D252" s="2">
        <f>HYPERLINK("https://my.zakupki.prom.ua/remote/dispatcher/state_contracting_view/4615947", "UA-2020-06-22-008597-c-c1")</f>
        <v/>
      </c>
      <c r="E252" t="s" s="1">
        <v>744</v>
      </c>
      <c r="F252" t="s" s="1">
        <v>2454</v>
      </c>
      <c r="G252" t="s" s="1">
        <v>2454</v>
      </c>
      <c r="H252" t="s" s="1">
        <v>718</v>
      </c>
      <c r="I252" t="s" s="1">
        <v>2361</v>
      </c>
      <c r="J252" t="s" s="1">
        <v>3392</v>
      </c>
      <c r="K252" t="s" s="1">
        <v>428</v>
      </c>
      <c r="L252" t="s" s="1">
        <v>371</v>
      </c>
      <c r="M252" t="n" s="5">
        <v>1416.02</v>
      </c>
      <c r="N252" t="n" s="7">
        <v>44002.0</v>
      </c>
      <c r="O252" t="n" s="7">
        <v>44196.0</v>
      </c>
      <c r="P252" t="s" s="1">
        <v>3499</v>
      </c>
    </row>
    <row r="253" spans="1:16">
      <c r="A253" t="n" s="4">
        <v>248</v>
      </c>
      <c r="B253" s="2">
        <f>HYPERLINK("https://my.zakupki.prom.ua/remote/dispatcher/state_purchase_view/20276861", "UA-2020-10-20-005825-a")</f>
        <v/>
      </c>
      <c r="C253" t="s" s="2">
        <v>3245</v>
      </c>
      <c r="D253" s="2">
        <f>HYPERLINK("https://my.zakupki.prom.ua/remote/dispatcher/state_contracting_view/5959615", "UA-2020-10-20-005825-a-a1")</f>
        <v/>
      </c>
      <c r="E253" t="s" s="1">
        <v>1736</v>
      </c>
      <c r="F253" t="s" s="1">
        <v>2504</v>
      </c>
      <c r="G253" t="s" s="1">
        <v>2504</v>
      </c>
      <c r="H253" t="s" s="1">
        <v>38</v>
      </c>
      <c r="I253" t="s" s="1">
        <v>2361</v>
      </c>
      <c r="J253" t="s" s="1">
        <v>3467</v>
      </c>
      <c r="K253" t="s" s="1">
        <v>766</v>
      </c>
      <c r="L253" t="s" s="1">
        <v>1559</v>
      </c>
      <c r="M253" t="n" s="5">
        <v>3744.0</v>
      </c>
      <c r="N253" t="n" s="7">
        <v>44123.0</v>
      </c>
      <c r="O253" t="n" s="7">
        <v>44196.0</v>
      </c>
      <c r="P253" t="s" s="1">
        <v>3499</v>
      </c>
    </row>
    <row r="254" spans="1:16">
      <c r="A254" t="n" s="4">
        <v>249</v>
      </c>
      <c r="B254" s="2">
        <f>HYPERLINK("https://my.zakupki.prom.ua/remote/dispatcher/state_purchase_view/20108575", "UA-2020-10-15-002794-c")</f>
        <v/>
      </c>
      <c r="C254" t="s" s="2">
        <v>3245</v>
      </c>
      <c r="D254" s="2">
        <f>HYPERLINK("https://my.zakupki.prom.ua/remote/dispatcher/state_contracting_view/5879493", "UA-2020-10-15-002794-c-c1")</f>
        <v/>
      </c>
      <c r="E254" t="s" s="1">
        <v>2053</v>
      </c>
      <c r="F254" t="s" s="1">
        <v>3106</v>
      </c>
      <c r="G254" t="s" s="1">
        <v>3106</v>
      </c>
      <c r="H254" t="s" s="1">
        <v>225</v>
      </c>
      <c r="I254" t="s" s="1">
        <v>2361</v>
      </c>
      <c r="J254" t="s" s="1">
        <v>3467</v>
      </c>
      <c r="K254" t="s" s="1">
        <v>766</v>
      </c>
      <c r="L254" t="s" s="1">
        <v>1521</v>
      </c>
      <c r="M254" t="n" s="5">
        <v>300.0</v>
      </c>
      <c r="N254" t="n" s="7">
        <v>44116.0</v>
      </c>
      <c r="O254" t="n" s="7">
        <v>44196.0</v>
      </c>
      <c r="P254" t="s" s="1">
        <v>3499</v>
      </c>
    </row>
    <row r="255" spans="1:16">
      <c r="A255" t="n" s="4">
        <v>250</v>
      </c>
      <c r="B255" s="2">
        <f>HYPERLINK("https://my.zakupki.prom.ua/remote/dispatcher/state_purchase_view/19030975", "UA-2020-09-04-010690-b")</f>
        <v/>
      </c>
      <c r="C255" t="s" s="2">
        <v>3245</v>
      </c>
      <c r="D255" s="2">
        <f>HYPERLINK("https://my.zakupki.prom.ua/remote/dispatcher/state_contracting_view/5750727", "UA-2020-09-04-010690-b-a1")</f>
        <v/>
      </c>
      <c r="E255" t="s" s="1">
        <v>1270</v>
      </c>
      <c r="F255" t="s" s="1">
        <v>2885</v>
      </c>
      <c r="G255" t="s" s="1">
        <v>1896</v>
      </c>
      <c r="H255" t="s" s="1">
        <v>718</v>
      </c>
      <c r="I255" t="s" s="1">
        <v>2311</v>
      </c>
      <c r="J255" t="s" s="1">
        <v>3330</v>
      </c>
      <c r="K255" t="s" s="1">
        <v>617</v>
      </c>
      <c r="L255" t="s" s="1">
        <v>1428</v>
      </c>
      <c r="M255" t="n" s="5">
        <v>36404.51</v>
      </c>
      <c r="N255" t="n" s="7">
        <v>44109.0</v>
      </c>
      <c r="O255" t="n" s="7">
        <v>44196.0</v>
      </c>
      <c r="P255" t="s" s="1">
        <v>3499</v>
      </c>
    </row>
    <row r="256" spans="1:16">
      <c r="A256" t="n" s="4">
        <v>251</v>
      </c>
      <c r="B256" s="2">
        <f>HYPERLINK("https://my.zakupki.prom.ua/remote/dispatcher/state_purchase_view/19692629", "UA-2020-09-29-005919-a")</f>
        <v/>
      </c>
      <c r="C256" t="s" s="2">
        <v>3245</v>
      </c>
      <c r="D256" s="2">
        <f>HYPERLINK("https://my.zakupki.prom.ua/remote/dispatcher/state_contracting_view/5684598", "UA-2020-09-29-005919-a-a1")</f>
        <v/>
      </c>
      <c r="E256" t="s" s="1">
        <v>788</v>
      </c>
      <c r="F256" t="s" s="1">
        <v>2523</v>
      </c>
      <c r="G256" t="s" s="1">
        <v>2523</v>
      </c>
      <c r="H256" t="s" s="1">
        <v>39</v>
      </c>
      <c r="I256" t="s" s="1">
        <v>2361</v>
      </c>
      <c r="J256" t="s" s="1">
        <v>3467</v>
      </c>
      <c r="K256" t="s" s="1">
        <v>766</v>
      </c>
      <c r="L256" t="s" s="1">
        <v>1398</v>
      </c>
      <c r="M256" t="n" s="5">
        <v>4878.0</v>
      </c>
      <c r="N256" t="n" s="7">
        <v>44102.0</v>
      </c>
      <c r="O256" t="n" s="7">
        <v>44196.0</v>
      </c>
      <c r="P256" t="s" s="1">
        <v>3499</v>
      </c>
    </row>
    <row r="257" spans="1:16">
      <c r="A257" t="n" s="4">
        <v>252</v>
      </c>
      <c r="B257" s="2">
        <f>HYPERLINK("https://my.zakupki.prom.ua/remote/dispatcher/state_purchase_view/19866506", "UA-2020-10-06-007215-a")</f>
        <v/>
      </c>
      <c r="C257" t="s" s="2">
        <v>3245</v>
      </c>
      <c r="D257" s="2">
        <f>HYPERLINK("https://my.zakupki.prom.ua/remote/dispatcher/state_contracting_view/5765079", "UA-2020-10-06-007215-a-a1")</f>
        <v/>
      </c>
      <c r="E257" t="s" s="1">
        <v>2027</v>
      </c>
      <c r="F257" t="s" s="1">
        <v>2755</v>
      </c>
      <c r="G257" t="s" s="1">
        <v>3486</v>
      </c>
      <c r="H257" t="s" s="1">
        <v>690</v>
      </c>
      <c r="I257" t="s" s="1">
        <v>2361</v>
      </c>
      <c r="J257" t="s" s="1">
        <v>3403</v>
      </c>
      <c r="K257" t="s" s="1">
        <v>771</v>
      </c>
      <c r="L257" t="s" s="1">
        <v>1440</v>
      </c>
      <c r="M257" t="n" s="5">
        <v>1409.0</v>
      </c>
      <c r="N257" t="n" s="7">
        <v>44110.0</v>
      </c>
      <c r="O257" t="n" s="7">
        <v>44196.0</v>
      </c>
      <c r="P257" t="s" s="1">
        <v>3499</v>
      </c>
    </row>
    <row r="258" spans="1:16">
      <c r="A258" t="n" s="4">
        <v>253</v>
      </c>
      <c r="B258" s="2">
        <f>HYPERLINK("https://my.zakupki.prom.ua/remote/dispatcher/state_purchase_view/20578529", "UA-2020-10-29-001589-c")</f>
        <v/>
      </c>
      <c r="C258" t="s" s="2">
        <v>3245</v>
      </c>
      <c r="D258" s="2">
        <f>HYPERLINK("https://my.zakupki.prom.ua/remote/dispatcher/state_contracting_view/6109034", "UA-2020-10-29-001589-c-c1")</f>
        <v/>
      </c>
      <c r="E258" t="s" s="1">
        <v>887</v>
      </c>
      <c r="F258" t="s" s="1">
        <v>2535</v>
      </c>
      <c r="G258" t="s" s="1">
        <v>2535</v>
      </c>
      <c r="H258" t="s" s="1">
        <v>201</v>
      </c>
      <c r="I258" t="s" s="1">
        <v>2361</v>
      </c>
      <c r="J258" t="s" s="1">
        <v>3251</v>
      </c>
      <c r="K258" t="s" s="1">
        <v>486</v>
      </c>
      <c r="L258" t="s" s="1">
        <v>3293</v>
      </c>
      <c r="M258" t="n" s="5">
        <v>248.4</v>
      </c>
      <c r="N258" t="n" s="7">
        <v>44133.0</v>
      </c>
      <c r="O258" t="n" s="7">
        <v>44196.0</v>
      </c>
      <c r="P258" t="s" s="1">
        <v>3499</v>
      </c>
    </row>
    <row r="259" spans="1:16">
      <c r="A259" t="n" s="4">
        <v>254</v>
      </c>
      <c r="B259" s="2">
        <f>HYPERLINK("https://my.zakupki.prom.ua/remote/dispatcher/state_purchase_view/20584537", "UA-2020-10-29-003306-c")</f>
        <v/>
      </c>
      <c r="C259" t="s" s="2">
        <v>3245</v>
      </c>
      <c r="D259" s="2">
        <f>HYPERLINK("https://my.zakupki.prom.ua/remote/dispatcher/state_contracting_view/6111477", "UA-2020-10-29-003306-c-c1")</f>
        <v/>
      </c>
      <c r="E259" t="s" s="1">
        <v>1734</v>
      </c>
      <c r="F259" t="s" s="1">
        <v>2677</v>
      </c>
      <c r="G259" t="s" s="1">
        <v>2678</v>
      </c>
      <c r="H259" t="s" s="1">
        <v>454</v>
      </c>
      <c r="I259" t="s" s="1">
        <v>2361</v>
      </c>
      <c r="J259" t="s" s="1">
        <v>3251</v>
      </c>
      <c r="K259" t="s" s="1">
        <v>486</v>
      </c>
      <c r="L259" t="s" s="1">
        <v>3262</v>
      </c>
      <c r="M259" t="n" s="5">
        <v>155.25</v>
      </c>
      <c r="N259" t="n" s="7">
        <v>44133.0</v>
      </c>
      <c r="O259" t="n" s="7">
        <v>44196.0</v>
      </c>
      <c r="P259" t="s" s="1">
        <v>3499</v>
      </c>
    </row>
    <row r="260" spans="1:16">
      <c r="A260" t="n" s="4">
        <v>255</v>
      </c>
      <c r="B260" s="2">
        <f>HYPERLINK("https://my.zakupki.prom.ua/remote/dispatcher/state_purchase_view/20685384", "UA-2020-11-03-001039-c")</f>
        <v/>
      </c>
      <c r="C260" t="s" s="2">
        <v>3245</v>
      </c>
      <c r="D260" s="2">
        <f>HYPERLINK("https://my.zakupki.prom.ua/remote/dispatcher/state_contracting_view/6157834", "UA-2020-11-03-001039-c-c1")</f>
        <v/>
      </c>
      <c r="E260" t="s" s="1">
        <v>1828</v>
      </c>
      <c r="F260" t="s" s="1">
        <v>3123</v>
      </c>
      <c r="G260" t="s" s="1">
        <v>3123</v>
      </c>
      <c r="H260" t="s" s="1">
        <v>1496</v>
      </c>
      <c r="I260" t="s" s="1">
        <v>2361</v>
      </c>
      <c r="J260" t="s" s="1">
        <v>3298</v>
      </c>
      <c r="K260" t="s" s="1">
        <v>395</v>
      </c>
      <c r="L260" t="s" s="1">
        <v>1134</v>
      </c>
      <c r="M260" t="n" s="5">
        <v>679.0</v>
      </c>
      <c r="N260" t="n" s="7">
        <v>44137.0</v>
      </c>
      <c r="O260" t="n" s="7">
        <v>44196.0</v>
      </c>
      <c r="P260" t="s" s="1">
        <v>3499</v>
      </c>
    </row>
    <row r="261" spans="1:16">
      <c r="A261" t="n" s="4">
        <v>256</v>
      </c>
      <c r="B261" s="2">
        <f>HYPERLINK("https://my.zakupki.prom.ua/remote/dispatcher/state_purchase_view/20733256", "UA-2020-11-04-002525-c")</f>
        <v/>
      </c>
      <c r="C261" t="s" s="2">
        <v>3245</v>
      </c>
      <c r="D261" s="2">
        <f>HYPERLINK("https://my.zakupki.prom.ua/remote/dispatcher/state_contracting_view/6180666", "UA-2020-11-04-002525-c-c1")</f>
        <v/>
      </c>
      <c r="E261" t="s" s="1">
        <v>2231</v>
      </c>
      <c r="F261" t="s" s="1">
        <v>2504</v>
      </c>
      <c r="G261" t="s" s="1">
        <v>2504</v>
      </c>
      <c r="H261" t="s" s="1">
        <v>38</v>
      </c>
      <c r="I261" t="s" s="1">
        <v>2361</v>
      </c>
      <c r="J261" t="s" s="1">
        <v>3467</v>
      </c>
      <c r="K261" t="s" s="1">
        <v>766</v>
      </c>
      <c r="L261" t="s" s="1">
        <v>1625</v>
      </c>
      <c r="M261" t="n" s="5">
        <v>1944.0</v>
      </c>
      <c r="N261" t="n" s="7">
        <v>44137.0</v>
      </c>
      <c r="O261" t="n" s="7">
        <v>44196.0</v>
      </c>
      <c r="P261" t="s" s="1">
        <v>3499</v>
      </c>
    </row>
    <row r="262" spans="1:16">
      <c r="A262" t="n" s="4">
        <v>257</v>
      </c>
      <c r="B262" s="2">
        <f>HYPERLINK("https://my.zakupki.prom.ua/remote/dispatcher/state_purchase_view/20489800", "UA-2020-10-27-000217-a")</f>
        <v/>
      </c>
      <c r="C262" t="s" s="2">
        <v>3245</v>
      </c>
      <c r="D262" s="2">
        <f>HYPERLINK("https://my.zakupki.prom.ua/remote/dispatcher/state_contracting_view/6064662", "UA-2020-10-27-000217-a-a1")</f>
        <v/>
      </c>
      <c r="E262" t="s" s="1">
        <v>2077</v>
      </c>
      <c r="F262" t="s" s="1">
        <v>3148</v>
      </c>
      <c r="G262" t="s" s="1">
        <v>3148</v>
      </c>
      <c r="H262" t="s" s="1">
        <v>1759</v>
      </c>
      <c r="I262" t="s" s="1">
        <v>2361</v>
      </c>
      <c r="J262" t="s" s="1">
        <v>3390</v>
      </c>
      <c r="K262" t="s" s="1">
        <v>816</v>
      </c>
      <c r="L262" t="s" s="1">
        <v>1617</v>
      </c>
      <c r="M262" t="n" s="5">
        <v>21405.0</v>
      </c>
      <c r="N262" t="n" s="7">
        <v>44130.0</v>
      </c>
      <c r="O262" t="n" s="7">
        <v>44196.0</v>
      </c>
      <c r="P262" t="s" s="1">
        <v>3499</v>
      </c>
    </row>
    <row r="263" spans="1:16">
      <c r="A263" t="n" s="4">
        <v>258</v>
      </c>
      <c r="B263" s="2">
        <f>HYPERLINK("https://my.zakupki.prom.ua/remote/dispatcher/state_purchase_view/20886129", "UA-2020-11-09-004385-c")</f>
        <v/>
      </c>
      <c r="C263" t="s" s="2">
        <v>3245</v>
      </c>
      <c r="D263" s="2">
        <f>HYPERLINK("https://my.zakupki.prom.ua/remote/dispatcher/state_contracting_view/6254034", "UA-2020-11-09-004385-c-c1")</f>
        <v/>
      </c>
      <c r="E263" t="s" s="1">
        <v>1962</v>
      </c>
      <c r="F263" t="s" s="1">
        <v>3110</v>
      </c>
      <c r="G263" t="s" s="1">
        <v>3111</v>
      </c>
      <c r="H263" t="s" s="1">
        <v>1400</v>
      </c>
      <c r="I263" t="s" s="1">
        <v>2361</v>
      </c>
      <c r="J263" t="s" s="1">
        <v>3373</v>
      </c>
      <c r="K263" t="s" s="1">
        <v>773</v>
      </c>
      <c r="L263" t="s" s="1">
        <v>338</v>
      </c>
      <c r="M263" t="n" s="5">
        <v>1845.0</v>
      </c>
      <c r="N263" t="n" s="7">
        <v>44144.0</v>
      </c>
      <c r="O263" t="n" s="7">
        <v>44196.0</v>
      </c>
      <c r="P263" t="s" s="1">
        <v>3499</v>
      </c>
    </row>
    <row r="264" spans="1:16">
      <c r="A264" t="n" s="4">
        <v>259</v>
      </c>
      <c r="B264" s="2">
        <f>HYPERLINK("https://my.zakupki.prom.ua/remote/dispatcher/state_purchase_view/20229127", "UA-2020-10-19-009871-c")</f>
        <v/>
      </c>
      <c r="C264" t="s" s="2">
        <v>3245</v>
      </c>
      <c r="D264" s="2">
        <f>HYPERLINK("https://my.zakupki.prom.ua/remote/dispatcher/state_contracting_view/6452971", "UA-2020-10-19-009871-c-c1")</f>
        <v/>
      </c>
      <c r="E264" t="s" s="1">
        <v>1441</v>
      </c>
      <c r="F264" t="s" s="1">
        <v>2848</v>
      </c>
      <c r="G264" t="s" s="1">
        <v>1897</v>
      </c>
      <c r="H264" t="s" s="1">
        <v>718</v>
      </c>
      <c r="I264" t="s" s="1">
        <v>2311</v>
      </c>
      <c r="J264" t="s" s="1">
        <v>3330</v>
      </c>
      <c r="K264" t="s" s="1">
        <v>617</v>
      </c>
      <c r="L264" t="s" s="1">
        <v>1783</v>
      </c>
      <c r="M264" t="n" s="5">
        <v>265348.47</v>
      </c>
      <c r="N264" t="n" s="7">
        <v>44158.0</v>
      </c>
      <c r="O264" t="n" s="7">
        <v>44196.0</v>
      </c>
      <c r="P264" t="s" s="1">
        <v>3499</v>
      </c>
    </row>
    <row r="265" spans="1:16">
      <c r="A265" t="n" s="4">
        <v>260</v>
      </c>
      <c r="B265" s="2">
        <f>HYPERLINK("https://my.zakupki.prom.ua/remote/dispatcher/state_purchase_view/21149185", "UA-2020-11-17-007755-c")</f>
        <v/>
      </c>
      <c r="C265" t="s" s="2">
        <v>3245</v>
      </c>
      <c r="D265" s="2">
        <f>HYPERLINK("https://my.zakupki.prom.ua/remote/dispatcher/state_contracting_view/6377137", "UA-2020-11-17-007755-c-c1")</f>
        <v/>
      </c>
      <c r="E265" t="s" s="1">
        <v>1544</v>
      </c>
      <c r="F265" t="s" s="1">
        <v>3140</v>
      </c>
      <c r="G265" t="s" s="1">
        <v>3140</v>
      </c>
      <c r="H265" t="s" s="1">
        <v>1614</v>
      </c>
      <c r="I265" t="s" s="1">
        <v>2361</v>
      </c>
      <c r="J265" t="s" s="1">
        <v>3212</v>
      </c>
      <c r="K265" t="s" s="1">
        <v>35</v>
      </c>
      <c r="L265" t="s" s="1">
        <v>166</v>
      </c>
      <c r="M265" t="n" s="5">
        <v>3000.0</v>
      </c>
      <c r="N265" t="n" s="7">
        <v>44152.0</v>
      </c>
      <c r="O265" t="n" s="7">
        <v>44196.0</v>
      </c>
      <c r="P265" t="s" s="1">
        <v>3499</v>
      </c>
    </row>
    <row r="266" spans="1:16">
      <c r="A266" t="n" s="4">
        <v>261</v>
      </c>
      <c r="B266" s="2">
        <f>HYPERLINK("https://my.zakupki.prom.ua/remote/dispatcher/state_purchase_view/21176566", "UA-2020-11-18-002554-c")</f>
        <v/>
      </c>
      <c r="C266" t="s" s="2">
        <v>3245</v>
      </c>
      <c r="D266" s="2">
        <f>HYPERLINK("https://my.zakupki.prom.ua/remote/dispatcher/state_contracting_view/6390011", "UA-2020-11-18-002554-c-c1")</f>
        <v/>
      </c>
      <c r="E266" t="s" s="1">
        <v>1869</v>
      </c>
      <c r="F266" t="s" s="1">
        <v>3142</v>
      </c>
      <c r="G266" t="s" s="1">
        <v>3142</v>
      </c>
      <c r="H266" t="s" s="1">
        <v>1615</v>
      </c>
      <c r="I266" t="s" s="1">
        <v>2361</v>
      </c>
      <c r="J266" t="s" s="1">
        <v>2322</v>
      </c>
      <c r="K266" t="s" s="1">
        <v>9</v>
      </c>
      <c r="L266" t="s" s="1">
        <v>1761</v>
      </c>
      <c r="M266" t="n" s="5">
        <v>1499.39</v>
      </c>
      <c r="N266" t="n" s="7">
        <v>44153.0</v>
      </c>
      <c r="O266" t="n" s="7">
        <v>44196.0</v>
      </c>
      <c r="P266" t="s" s="1">
        <v>3499</v>
      </c>
    </row>
    <row r="267" spans="1:16">
      <c r="A267" t="n" s="4">
        <v>262</v>
      </c>
      <c r="B267" s="2">
        <f>HYPERLINK("https://my.zakupki.prom.ua/remote/dispatcher/state_purchase_view/21192411", "UA-2020-11-18-006930-c")</f>
        <v/>
      </c>
      <c r="C267" t="s" s="2">
        <v>3245</v>
      </c>
      <c r="D267" s="2">
        <f>HYPERLINK("https://my.zakupki.prom.ua/remote/dispatcher/state_contracting_view/6397253", "UA-2020-11-18-006930-c-c1")</f>
        <v/>
      </c>
      <c r="E267" t="s" s="1">
        <v>1837</v>
      </c>
      <c r="F267" t="s" s="1">
        <v>2569</v>
      </c>
      <c r="G267" t="s" s="1">
        <v>2569</v>
      </c>
      <c r="H267" t="s" s="1">
        <v>216</v>
      </c>
      <c r="I267" t="s" s="1">
        <v>2361</v>
      </c>
      <c r="J267" t="s" s="1">
        <v>3467</v>
      </c>
      <c r="K267" t="s" s="1">
        <v>766</v>
      </c>
      <c r="L267" t="s" s="1">
        <v>1768</v>
      </c>
      <c r="M267" t="n" s="5">
        <v>1200.0</v>
      </c>
      <c r="N267" t="n" s="7">
        <v>44153.0</v>
      </c>
      <c r="O267" t="n" s="7">
        <v>44196.0</v>
      </c>
      <c r="P267" t="s" s="1">
        <v>3499</v>
      </c>
    </row>
    <row r="268" spans="1:16">
      <c r="A268" t="n" s="4">
        <v>263</v>
      </c>
      <c r="B268" s="2">
        <f>HYPERLINK("https://my.zakupki.prom.ua/remote/dispatcher/state_purchase_view/22748543", "UA-2020-12-29-000594-a")</f>
        <v/>
      </c>
      <c r="C268" t="s" s="2">
        <v>3245</v>
      </c>
      <c r="D268" s="2">
        <f>HYPERLINK("https://my.zakupki.prom.ua/remote/dispatcher/state_contracting_view/7138237", "UA-2020-12-29-000594-a-a1")</f>
        <v/>
      </c>
      <c r="E268" t="s" s="1">
        <v>1456</v>
      </c>
      <c r="F268" t="s" s="1">
        <v>2708</v>
      </c>
      <c r="G268" t="s" s="1">
        <v>2708</v>
      </c>
      <c r="H268" t="s" s="1">
        <v>630</v>
      </c>
      <c r="I268" t="s" s="1">
        <v>2361</v>
      </c>
      <c r="J268" t="s" s="1">
        <v>3420</v>
      </c>
      <c r="K268" t="s" s="1">
        <v>535</v>
      </c>
      <c r="L268" t="s" s="1">
        <v>3360</v>
      </c>
      <c r="M268" t="n" s="5">
        <v>275.0</v>
      </c>
      <c r="N268" t="n" s="7">
        <v>44194.0</v>
      </c>
      <c r="O268" t="n" s="7">
        <v>44196.0</v>
      </c>
      <c r="P268" t="s" s="1">
        <v>3499</v>
      </c>
    </row>
    <row r="269" spans="1:16">
      <c r="A269" t="n" s="4">
        <v>264</v>
      </c>
      <c r="B269" s="2">
        <f>HYPERLINK("https://my.zakupki.prom.ua/remote/dispatcher/state_purchase_view/22713548", "UA-2020-12-28-006336-c")</f>
        <v/>
      </c>
      <c r="C269" t="s" s="2">
        <v>3245</v>
      </c>
      <c r="D269" s="2">
        <f>HYPERLINK("https://my.zakupki.prom.ua/remote/dispatcher/state_contracting_view/7121008", "UA-2020-12-28-006336-c-c1")</f>
        <v/>
      </c>
      <c r="E269" t="s" s="1">
        <v>2220</v>
      </c>
      <c r="F269" t="s" s="1">
        <v>2852</v>
      </c>
      <c r="G269" t="s" s="1">
        <v>2852</v>
      </c>
      <c r="H269" t="s" s="1">
        <v>718</v>
      </c>
      <c r="I269" t="s" s="1">
        <v>2361</v>
      </c>
      <c r="J269" t="s" s="1">
        <v>3392</v>
      </c>
      <c r="K269" t="s" s="1">
        <v>428</v>
      </c>
      <c r="L269" t="s" s="1">
        <v>124</v>
      </c>
      <c r="M269" t="n" s="5">
        <v>44680.0</v>
      </c>
      <c r="N269" t="n" s="7">
        <v>44193.0</v>
      </c>
      <c r="O269" t="n" s="7">
        <v>44196.0</v>
      </c>
      <c r="P269" t="s" s="1">
        <v>3499</v>
      </c>
    </row>
    <row r="270" spans="1:16">
      <c r="A270" t="n" s="4">
        <v>265</v>
      </c>
      <c r="B270" s="2">
        <f>HYPERLINK("https://my.zakupki.prom.ua/remote/dispatcher/state_purchase_view/22733653", "UA-2020-12-28-013474-c")</f>
        <v/>
      </c>
      <c r="C270" t="s" s="2">
        <v>3245</v>
      </c>
      <c r="D270" s="2">
        <f>HYPERLINK("https://my.zakupki.prom.ua/remote/dispatcher/state_contracting_view/7131400", "UA-2020-12-28-013474-c-c1")</f>
        <v/>
      </c>
      <c r="E270" t="s" s="1">
        <v>1105</v>
      </c>
      <c r="F270" t="s" s="1">
        <v>3064</v>
      </c>
      <c r="G270" t="s" s="1">
        <v>3064</v>
      </c>
      <c r="H270" t="s" s="1">
        <v>1016</v>
      </c>
      <c r="I270" t="s" s="1">
        <v>2361</v>
      </c>
      <c r="J270" t="s" s="1">
        <v>3420</v>
      </c>
      <c r="K270" t="s" s="1">
        <v>535</v>
      </c>
      <c r="L270" t="s" s="1">
        <v>3368</v>
      </c>
      <c r="M270" t="n" s="5">
        <v>825.0</v>
      </c>
      <c r="N270" t="n" s="7">
        <v>44193.0</v>
      </c>
      <c r="O270" t="n" s="7">
        <v>44196.0</v>
      </c>
      <c r="P270" t="s" s="1">
        <v>3499</v>
      </c>
    </row>
    <row r="271" spans="1:16">
      <c r="A271" t="n" s="4">
        <v>266</v>
      </c>
      <c r="B271" s="2">
        <f>HYPERLINK("https://my.zakupki.prom.ua/remote/dispatcher/state_purchase_view/22425746", "UA-2020-12-21-001830-c")</f>
        <v/>
      </c>
      <c r="C271" t="s" s="2">
        <v>3245</v>
      </c>
      <c r="D271" s="2">
        <f>HYPERLINK("https://my.zakupki.prom.ua/remote/dispatcher/state_contracting_view/6980337", "UA-2020-12-21-001830-c-c1")</f>
        <v/>
      </c>
      <c r="E271" t="s" s="1">
        <v>1787</v>
      </c>
      <c r="F271" t="s" s="1">
        <v>2927</v>
      </c>
      <c r="G271" t="s" s="1">
        <v>2927</v>
      </c>
      <c r="H271" t="s" s="1">
        <v>718</v>
      </c>
      <c r="I271" t="s" s="1">
        <v>2361</v>
      </c>
      <c r="J271" t="s" s="1">
        <v>3392</v>
      </c>
      <c r="K271" t="s" s="1">
        <v>428</v>
      </c>
      <c r="L271" t="s" s="1">
        <v>1863</v>
      </c>
      <c r="M271" t="n" s="5">
        <v>138840.91</v>
      </c>
      <c r="N271" t="n" s="7">
        <v>44183.0</v>
      </c>
      <c r="O271" t="n" s="7">
        <v>44196.0</v>
      </c>
      <c r="P271" t="s" s="1">
        <v>3499</v>
      </c>
    </row>
    <row r="272" spans="1:16">
      <c r="A272" t="n" s="4">
        <v>267</v>
      </c>
      <c r="B272" s="2">
        <f>HYPERLINK("https://my.zakupki.prom.ua/remote/dispatcher/state_purchase_view/22421185", "UA-2020-12-21-000508-c")</f>
        <v/>
      </c>
      <c r="C272" t="s" s="2">
        <v>3245</v>
      </c>
      <c r="D272" s="2">
        <f>HYPERLINK("https://my.zakupki.prom.ua/remote/dispatcher/state_contracting_view/6978146", "UA-2020-12-21-000508-c-c1")</f>
        <v/>
      </c>
      <c r="E272" t="s" s="1">
        <v>274</v>
      </c>
      <c r="F272" t="s" s="1">
        <v>2735</v>
      </c>
      <c r="G272" t="s" s="1">
        <v>2735</v>
      </c>
      <c r="H272" t="s" s="1">
        <v>688</v>
      </c>
      <c r="I272" t="s" s="1">
        <v>2361</v>
      </c>
      <c r="J272" t="s" s="1">
        <v>3405</v>
      </c>
      <c r="K272" t="s" s="1">
        <v>979</v>
      </c>
      <c r="L272" t="s" s="1">
        <v>1861</v>
      </c>
      <c r="M272" t="n" s="5">
        <v>34900.0</v>
      </c>
      <c r="N272" t="n" s="7">
        <v>44181.0</v>
      </c>
      <c r="O272" t="n" s="7">
        <v>44196.0</v>
      </c>
      <c r="P272" t="s" s="1">
        <v>3499</v>
      </c>
    </row>
    <row r="273" spans="1:16">
      <c r="A273" t="n" s="4">
        <v>268</v>
      </c>
      <c r="B273" s="2">
        <f>HYPERLINK("https://my.zakupki.prom.ua/remote/dispatcher/state_purchase_view/22618907", "UA-2020-12-24-000997-c")</f>
        <v/>
      </c>
      <c r="C273" t="s" s="2">
        <v>3245</v>
      </c>
      <c r="D273" s="2">
        <f>HYPERLINK("https://my.zakupki.prom.ua/remote/dispatcher/state_contracting_view/7076603", "UA-2020-12-24-000997-c-c1")</f>
        <v/>
      </c>
      <c r="E273" t="s" s="1">
        <v>1740</v>
      </c>
      <c r="F273" t="s" s="1">
        <v>3080</v>
      </c>
      <c r="G273" t="s" s="1">
        <v>3080</v>
      </c>
      <c r="H273" t="s" s="1">
        <v>1028</v>
      </c>
      <c r="I273" t="s" s="1">
        <v>2361</v>
      </c>
      <c r="J273" t="s" s="1">
        <v>3406</v>
      </c>
      <c r="K273" t="s" s="1">
        <v>996</v>
      </c>
      <c r="L273" t="s" s="1">
        <v>119</v>
      </c>
      <c r="M273" t="n" s="5">
        <v>1274985.0</v>
      </c>
      <c r="N273" t="n" s="7">
        <v>44188.0</v>
      </c>
      <c r="O273" t="n" s="7">
        <v>44196.0</v>
      </c>
      <c r="P273" t="s" s="1">
        <v>3499</v>
      </c>
    </row>
    <row r="274" spans="1:16">
      <c r="A274" t="n" s="4">
        <v>269</v>
      </c>
      <c r="B274" s="2">
        <f>HYPERLINK("https://my.zakupki.prom.ua/remote/dispatcher/state_purchase_view/21514697", "UA-2020-11-27-003123-b")</f>
        <v/>
      </c>
      <c r="C274" t="s" s="2">
        <v>3245</v>
      </c>
      <c r="D274" s="2">
        <f>HYPERLINK("https://my.zakupki.prom.ua/remote/dispatcher/state_contracting_view/6548363", "UA-2020-11-27-003123-b-b1")</f>
        <v/>
      </c>
      <c r="E274" t="s" s="1">
        <v>210</v>
      </c>
      <c r="F274" t="s" s="1">
        <v>3328</v>
      </c>
      <c r="G274" t="s" s="1">
        <v>3328</v>
      </c>
      <c r="H274" t="s" s="1">
        <v>1050</v>
      </c>
      <c r="I274" t="s" s="1">
        <v>2361</v>
      </c>
      <c r="J274" t="s" s="1">
        <v>3391</v>
      </c>
      <c r="K274" t="s" s="1">
        <v>835</v>
      </c>
      <c r="L274" t="s" s="1">
        <v>1805</v>
      </c>
      <c r="M274" t="n" s="5">
        <v>200821.0</v>
      </c>
      <c r="N274" t="n" s="7">
        <v>44162.0</v>
      </c>
      <c r="O274" t="n" s="7">
        <v>44196.0</v>
      </c>
      <c r="P274" t="s" s="1">
        <v>3499</v>
      </c>
    </row>
    <row r="275" spans="1:16">
      <c r="A275" t="n" s="4">
        <v>270</v>
      </c>
      <c r="B275" s="2">
        <f>HYPERLINK("https://my.zakupki.prom.ua/remote/dispatcher/state_purchase_view/21487630", "UA-2020-11-26-008866-b")</f>
        <v/>
      </c>
      <c r="C275" t="s" s="2">
        <v>3245</v>
      </c>
      <c r="D275" s="2">
        <f>HYPERLINK("https://my.zakupki.prom.ua/remote/dispatcher/state_contracting_view/6534757", "UA-2020-11-26-008866-b-b1")</f>
        <v/>
      </c>
      <c r="E275" t="s" s="1">
        <v>2144</v>
      </c>
      <c r="F275" t="s" s="1">
        <v>2547</v>
      </c>
      <c r="G275" t="s" s="1">
        <v>2547</v>
      </c>
      <c r="H275" t="s" s="1">
        <v>209</v>
      </c>
      <c r="I275" t="s" s="1">
        <v>2361</v>
      </c>
      <c r="J275" t="s" s="1">
        <v>3467</v>
      </c>
      <c r="K275" t="s" s="1">
        <v>766</v>
      </c>
      <c r="L275" t="s" s="1">
        <v>1801</v>
      </c>
      <c r="M275" t="n" s="5">
        <v>31960.0</v>
      </c>
      <c r="N275" t="n" s="7">
        <v>44161.0</v>
      </c>
      <c r="O275" t="n" s="7">
        <v>44196.0</v>
      </c>
      <c r="P275" t="s" s="1">
        <v>3499</v>
      </c>
    </row>
    <row r="276" spans="1:16">
      <c r="A276" t="n" s="4">
        <v>271</v>
      </c>
      <c r="B276" s="2">
        <f>HYPERLINK("https://my.zakupki.prom.ua/remote/dispatcher/state_purchase_view/22761578", "UA-2020-12-29-004119-a")</f>
        <v/>
      </c>
      <c r="C276" t="s" s="2">
        <v>3245</v>
      </c>
      <c r="D276" s="2">
        <f>HYPERLINK("https://my.zakupki.prom.ua/remote/dispatcher/state_contracting_view/7146546", "UA-2020-12-29-004119-a-a1")</f>
        <v/>
      </c>
      <c r="E276" t="s" s="1">
        <v>66</v>
      </c>
      <c r="F276" t="s" s="1">
        <v>3088</v>
      </c>
      <c r="G276" t="s" s="1">
        <v>3088</v>
      </c>
      <c r="H276" t="s" s="1">
        <v>1044</v>
      </c>
      <c r="I276" t="s" s="1">
        <v>2361</v>
      </c>
      <c r="J276" t="s" s="1">
        <v>3348</v>
      </c>
      <c r="K276" t="s" s="1">
        <v>652</v>
      </c>
      <c r="L276" t="s" s="1">
        <v>129</v>
      </c>
      <c r="M276" t="n" s="5">
        <v>197092.0</v>
      </c>
      <c r="N276" t="n" s="7">
        <v>44194.0</v>
      </c>
      <c r="O276" t="n" s="7">
        <v>44196.0</v>
      </c>
      <c r="P276" t="s" s="1">
        <v>3499</v>
      </c>
    </row>
    <row r="277" spans="1:16">
      <c r="A277" t="n" s="4">
        <v>272</v>
      </c>
      <c r="B277" s="2">
        <f>HYPERLINK("https://my.zakupki.prom.ua/remote/dispatcher/state_purchase_view/22771701", "UA-2020-12-29-006926-a")</f>
        <v/>
      </c>
      <c r="C277" t="s" s="2">
        <v>3245</v>
      </c>
      <c r="D277" s="2">
        <f>HYPERLINK("https://my.zakupki.prom.ua/remote/dispatcher/state_contracting_view/7149583", "UA-2020-12-29-006926-a-a1")</f>
        <v/>
      </c>
      <c r="E277" t="s" s="1">
        <v>1844</v>
      </c>
      <c r="F277" t="s" s="1">
        <v>2716</v>
      </c>
      <c r="G277" t="s" s="1">
        <v>2716</v>
      </c>
      <c r="H277" t="s" s="1">
        <v>636</v>
      </c>
      <c r="I277" t="s" s="1">
        <v>2361</v>
      </c>
      <c r="J277" t="s" s="1">
        <v>3467</v>
      </c>
      <c r="K277" t="s" s="1">
        <v>766</v>
      </c>
      <c r="L277" t="s" s="1">
        <v>131</v>
      </c>
      <c r="M277" t="n" s="5">
        <v>1525.0</v>
      </c>
      <c r="N277" t="n" s="7">
        <v>44193.0</v>
      </c>
      <c r="O277" t="n" s="7">
        <v>44196.0</v>
      </c>
      <c r="P277" t="s" s="1">
        <v>3499</v>
      </c>
    </row>
    <row r="278" spans="1:16">
      <c r="A278" t="n" s="4">
        <v>273</v>
      </c>
      <c r="B278" s="2">
        <f>HYPERLINK("https://my.zakupki.prom.ua/remote/dispatcher/state_purchase_view/18199976", "UA-2020-07-29-007560-c")</f>
        <v/>
      </c>
      <c r="C278" t="s" s="2">
        <v>3245</v>
      </c>
      <c r="D278" s="2">
        <f>HYPERLINK("https://my.zakupki.prom.ua/remote/dispatcher/state_contracting_view/4979893", "UA-2020-07-29-007560-c-c1")</f>
        <v/>
      </c>
      <c r="E278" t="s" s="1">
        <v>2134</v>
      </c>
      <c r="F278" t="s" s="1">
        <v>2528</v>
      </c>
      <c r="G278" t="s" s="1">
        <v>2528</v>
      </c>
      <c r="H278" t="s" s="1">
        <v>39</v>
      </c>
      <c r="I278" t="s" s="1">
        <v>2361</v>
      </c>
      <c r="J278" t="s" s="1">
        <v>3467</v>
      </c>
      <c r="K278" t="s" s="1">
        <v>766</v>
      </c>
      <c r="L278" t="s" s="1">
        <v>853</v>
      </c>
      <c r="M278" t="n" s="5">
        <v>4426.16</v>
      </c>
      <c r="N278" t="n" s="7">
        <v>44040.0</v>
      </c>
      <c r="O278" t="n" s="7">
        <v>44196.0</v>
      </c>
      <c r="P278" t="s" s="1">
        <v>3499</v>
      </c>
    </row>
    <row r="279" spans="1:16">
      <c r="A279" t="n" s="4">
        <v>274</v>
      </c>
      <c r="B279" s="2">
        <f>HYPERLINK("https://my.zakupki.prom.ua/remote/dispatcher/state_purchase_view/18982732", "UA-2020-09-03-005102-b")</f>
        <v/>
      </c>
      <c r="C279" t="s" s="2">
        <v>3245</v>
      </c>
      <c r="D279" s="2">
        <f>HYPERLINK("https://my.zakupki.prom.ua/remote/dispatcher/state_contracting_view/5347722", "UA-2020-09-03-005102-b-b1")</f>
        <v/>
      </c>
      <c r="E279" t="s" s="1">
        <v>2239</v>
      </c>
      <c r="F279" t="s" s="1">
        <v>2504</v>
      </c>
      <c r="G279" t="s" s="1">
        <v>2504</v>
      </c>
      <c r="H279" t="s" s="1">
        <v>38</v>
      </c>
      <c r="I279" t="s" s="1">
        <v>2361</v>
      </c>
      <c r="J279" t="s" s="1">
        <v>3467</v>
      </c>
      <c r="K279" t="s" s="1">
        <v>766</v>
      </c>
      <c r="L279" t="s" s="1">
        <v>1212</v>
      </c>
      <c r="M279" t="n" s="5">
        <v>648.0</v>
      </c>
      <c r="N279" t="n" s="7">
        <v>44075.0</v>
      </c>
      <c r="O279" t="n" s="7">
        <v>44196.0</v>
      </c>
      <c r="P279" t="s" s="1">
        <v>3499</v>
      </c>
    </row>
    <row r="280" spans="1:16">
      <c r="A280" t="n" s="4">
        <v>275</v>
      </c>
      <c r="B280" s="2">
        <f>HYPERLINK("https://my.zakupki.prom.ua/remote/dispatcher/state_purchase_view/19424708", "UA-2020-09-21-000144-b")</f>
        <v/>
      </c>
      <c r="C280" t="s" s="2">
        <v>3245</v>
      </c>
      <c r="D280" s="2">
        <f>HYPERLINK("https://my.zakupki.prom.ua/remote/dispatcher/state_contracting_view/5557262", "UA-2020-09-21-000144-b-b1")</f>
        <v/>
      </c>
      <c r="E280" t="s" s="1">
        <v>1850</v>
      </c>
      <c r="F280" t="s" s="1">
        <v>2813</v>
      </c>
      <c r="G280" t="s" s="1">
        <v>2813</v>
      </c>
      <c r="H280" t="s" s="1">
        <v>690</v>
      </c>
      <c r="I280" t="s" s="1">
        <v>2361</v>
      </c>
      <c r="J280" t="s" s="1">
        <v>3392</v>
      </c>
      <c r="K280" t="s" s="1">
        <v>428</v>
      </c>
      <c r="L280" t="s" s="1">
        <v>1353</v>
      </c>
      <c r="M280" t="n" s="5">
        <v>1116.0</v>
      </c>
      <c r="N280" t="n" s="7">
        <v>44095.0</v>
      </c>
      <c r="O280" t="n" s="7">
        <v>44196.0</v>
      </c>
      <c r="P280" t="s" s="1">
        <v>3499</v>
      </c>
    </row>
    <row r="281" spans="1:16">
      <c r="A281" t="n" s="4">
        <v>276</v>
      </c>
      <c r="B281" s="2">
        <f>HYPERLINK("https://my.zakupki.prom.ua/remote/dispatcher/state_purchase_view/20986903", "UA-2020-11-11-010517-a")</f>
        <v/>
      </c>
      <c r="C281" t="s" s="2">
        <v>3245</v>
      </c>
      <c r="D281" s="2">
        <f>HYPERLINK("https://my.zakupki.prom.ua/remote/dispatcher/state_contracting_view/6301900", "UA-2020-11-11-010517-a-a1")</f>
        <v/>
      </c>
      <c r="E281" t="s" s="1">
        <v>1466</v>
      </c>
      <c r="F281" t="s" s="1">
        <v>2964</v>
      </c>
      <c r="G281" t="s" s="1">
        <v>2964</v>
      </c>
      <c r="H281" t="s" s="1">
        <v>738</v>
      </c>
      <c r="I281" t="s" s="1">
        <v>2361</v>
      </c>
      <c r="J281" t="s" s="1">
        <v>3467</v>
      </c>
      <c r="K281" t="s" s="1">
        <v>766</v>
      </c>
      <c r="L281" t="s" s="1">
        <v>1697</v>
      </c>
      <c r="M281" t="n" s="5">
        <v>2307.0</v>
      </c>
      <c r="N281" t="n" s="7">
        <v>44146.0</v>
      </c>
      <c r="O281" t="n" s="7">
        <v>44196.0</v>
      </c>
      <c r="P281" t="s" s="1">
        <v>3499</v>
      </c>
    </row>
    <row r="282" spans="1:16">
      <c r="A282" t="n" s="4">
        <v>277</v>
      </c>
      <c r="B282" s="2">
        <f>HYPERLINK("https://my.zakupki.prom.ua/remote/dispatcher/state_purchase_view/20981342", "UA-2020-11-11-009010-a")</f>
        <v/>
      </c>
      <c r="C282" t="s" s="2">
        <v>3245</v>
      </c>
      <c r="D282" s="2">
        <f>HYPERLINK("https://my.zakupki.prom.ua/remote/dispatcher/state_contracting_view/6299357", "UA-2020-11-11-009010-a-a1")</f>
        <v/>
      </c>
      <c r="E282" t="s" s="1">
        <v>2130</v>
      </c>
      <c r="F282" t="s" s="1">
        <v>2638</v>
      </c>
      <c r="G282" t="s" s="1">
        <v>2638</v>
      </c>
      <c r="H282" t="s" s="1">
        <v>297</v>
      </c>
      <c r="I282" t="s" s="1">
        <v>2361</v>
      </c>
      <c r="J282" t="s" s="1">
        <v>3467</v>
      </c>
      <c r="K282" t="s" s="1">
        <v>766</v>
      </c>
      <c r="L282" t="s" s="1">
        <v>1681</v>
      </c>
      <c r="M282" t="n" s="5">
        <v>4611.25</v>
      </c>
      <c r="N282" t="n" s="7">
        <v>44146.0</v>
      </c>
      <c r="O282" t="n" s="7">
        <v>44196.0</v>
      </c>
      <c r="P282" t="s" s="1">
        <v>3499</v>
      </c>
    </row>
    <row r="283" spans="1:16">
      <c r="A283" t="n" s="4">
        <v>278</v>
      </c>
      <c r="B283" s="2">
        <f>HYPERLINK("https://my.zakupki.prom.ua/remote/dispatcher/state_purchase_view/20594724", "UA-2020-10-29-005859-c")</f>
        <v/>
      </c>
      <c r="C283" t="s" s="2">
        <v>3245</v>
      </c>
      <c r="D283" s="2">
        <f>HYPERLINK("https://my.zakupki.prom.ua/remote/dispatcher/state_contracting_view/6115688", "UA-2020-10-29-005859-c-c1")</f>
        <v/>
      </c>
      <c r="E283" t="s" s="1">
        <v>2135</v>
      </c>
      <c r="F283" t="s" s="1">
        <v>2687</v>
      </c>
      <c r="G283" t="s" s="1">
        <v>2687</v>
      </c>
      <c r="H283" t="s" s="1">
        <v>457</v>
      </c>
      <c r="I283" t="s" s="1">
        <v>2361</v>
      </c>
      <c r="J283" t="s" s="1">
        <v>3251</v>
      </c>
      <c r="K283" t="s" s="1">
        <v>486</v>
      </c>
      <c r="L283" t="s" s="1">
        <v>3266</v>
      </c>
      <c r="M283" t="n" s="5">
        <v>128.8</v>
      </c>
      <c r="N283" t="n" s="7">
        <v>44133.0</v>
      </c>
      <c r="O283" t="n" s="7">
        <v>44196.0</v>
      </c>
      <c r="P283" t="s" s="1">
        <v>3499</v>
      </c>
    </row>
    <row r="284" spans="1:16">
      <c r="A284" t="n" s="4">
        <v>279</v>
      </c>
      <c r="B284" s="2">
        <f>HYPERLINK("https://my.zakupki.prom.ua/remote/dispatcher/state_purchase_view/21598044", "UA-2020-12-01-003497-b")</f>
        <v/>
      </c>
      <c r="C284" t="s" s="2">
        <v>3245</v>
      </c>
      <c r="D284" s="2">
        <f>HYPERLINK("https://my.zakupki.prom.ua/remote/dispatcher/state_contracting_view/6586723", "UA-2020-12-01-003497-b-b1")</f>
        <v/>
      </c>
      <c r="E284" t="s" s="1">
        <v>1375</v>
      </c>
      <c r="F284" t="s" s="1">
        <v>2965</v>
      </c>
      <c r="G284" t="s" s="1">
        <v>2965</v>
      </c>
      <c r="H284" t="s" s="1">
        <v>742</v>
      </c>
      <c r="I284" t="s" s="1">
        <v>2361</v>
      </c>
      <c r="J284" t="s" s="1">
        <v>3403</v>
      </c>
      <c r="K284" t="s" s="1">
        <v>771</v>
      </c>
      <c r="L284" t="s" s="1">
        <v>1813</v>
      </c>
      <c r="M284" t="n" s="5">
        <v>3000.0</v>
      </c>
      <c r="N284" t="n" s="7">
        <v>44166.0</v>
      </c>
      <c r="O284" t="n" s="7">
        <v>44196.0</v>
      </c>
      <c r="P284" t="s" s="1">
        <v>3499</v>
      </c>
    </row>
    <row r="285" spans="1:16">
      <c r="A285" t="n" s="4">
        <v>280</v>
      </c>
      <c r="B285" s="2">
        <f>HYPERLINK("https://my.zakupki.prom.ua/remote/dispatcher/state_purchase_view/21618594", "UA-2020-12-01-008854-b")</f>
        <v/>
      </c>
      <c r="C285" t="s" s="2">
        <v>3245</v>
      </c>
      <c r="D285" s="2">
        <f>HYPERLINK("https://my.zakupki.prom.ua/remote/dispatcher/state_contracting_view/6721658", "UA-2020-12-01-008854-b-b1")</f>
        <v/>
      </c>
      <c r="E285" t="s" s="1">
        <v>1202</v>
      </c>
      <c r="F285" t="s" s="1">
        <v>2581</v>
      </c>
      <c r="G285" t="s" s="1">
        <v>3524</v>
      </c>
      <c r="H285" t="s" s="1">
        <v>219</v>
      </c>
      <c r="I285" t="s" s="1">
        <v>3313</v>
      </c>
      <c r="J285" t="s" s="1">
        <v>3467</v>
      </c>
      <c r="K285" t="s" s="1">
        <v>766</v>
      </c>
      <c r="L285" t="s" s="1">
        <v>1845</v>
      </c>
      <c r="M285" t="n" s="5">
        <v>78710.0</v>
      </c>
      <c r="N285" t="n" s="7">
        <v>44172.0</v>
      </c>
      <c r="O285" t="n" s="7">
        <v>44196.0</v>
      </c>
      <c r="P285" t="s" s="1">
        <v>3499</v>
      </c>
    </row>
    <row r="286" spans="1:16">
      <c r="A286" t="n" s="4">
        <v>281</v>
      </c>
      <c r="B286" s="2">
        <f>HYPERLINK("https://my.zakupki.prom.ua/remote/dispatcher/state_purchase_view/22189956", "UA-2020-12-15-010306-c")</f>
        <v/>
      </c>
      <c r="C286" t="s" s="2">
        <v>3245</v>
      </c>
      <c r="D286" s="2">
        <f>HYPERLINK("https://my.zakupki.prom.ua/remote/dispatcher/state_contracting_view/6866602", "UA-2020-12-15-010306-c-c1")</f>
        <v/>
      </c>
      <c r="E286" t="s" s="1">
        <v>12</v>
      </c>
      <c r="F286" t="s" s="1">
        <v>2888</v>
      </c>
      <c r="G286" t="s" s="1">
        <v>3514</v>
      </c>
      <c r="H286" t="s" s="1">
        <v>718</v>
      </c>
      <c r="I286" t="s" s="1">
        <v>2361</v>
      </c>
      <c r="J286" t="s" s="1">
        <v>3402</v>
      </c>
      <c r="K286" t="s" s="1">
        <v>375</v>
      </c>
      <c r="L286" t="s" s="1">
        <v>827</v>
      </c>
      <c r="M286" t="n" s="5">
        <v>119000.0</v>
      </c>
      <c r="N286" t="n" s="7">
        <v>44180.0</v>
      </c>
      <c r="O286" t="n" s="7">
        <v>44196.0</v>
      </c>
      <c r="P286" t="s" s="1">
        <v>3499</v>
      </c>
    </row>
    <row r="287" spans="1:16">
      <c r="A287" t="n" s="4">
        <v>282</v>
      </c>
      <c r="B287" s="2">
        <f>HYPERLINK("https://my.zakupki.prom.ua/remote/dispatcher/state_purchase_view/18058221", "UA-2020-07-23-000226-b")</f>
        <v/>
      </c>
      <c r="C287" t="s" s="2">
        <v>3245</v>
      </c>
      <c r="D287" s="2">
        <f>HYPERLINK("https://my.zakupki.prom.ua/remote/dispatcher/state_contracting_view/4912806", "UA-2020-07-23-000226-b-b1")</f>
        <v/>
      </c>
      <c r="E287" t="s" s="1">
        <v>1452</v>
      </c>
      <c r="F287" t="s" s="1">
        <v>2828</v>
      </c>
      <c r="G287" t="s" s="1">
        <v>2828</v>
      </c>
      <c r="H287" t="s" s="1">
        <v>703</v>
      </c>
      <c r="I287" t="s" s="1">
        <v>2361</v>
      </c>
      <c r="J287" t="s" s="1">
        <v>3461</v>
      </c>
      <c r="K287" t="s" s="1">
        <v>534</v>
      </c>
      <c r="L287" t="s" s="1">
        <v>797</v>
      </c>
      <c r="M287" t="n" s="5">
        <v>147556.0</v>
      </c>
      <c r="N287" t="n" s="7">
        <v>44034.0</v>
      </c>
      <c r="O287" t="n" s="7">
        <v>44196.0</v>
      </c>
      <c r="P287" t="s" s="1">
        <v>3499</v>
      </c>
    </row>
    <row r="288" spans="1:16">
      <c r="A288" t="n" s="4">
        <v>283</v>
      </c>
      <c r="B288" s="2">
        <f>HYPERLINK("https://my.zakupki.prom.ua/remote/dispatcher/state_purchase_view/18048898", "UA-2020-07-22-006216-b")</f>
        <v/>
      </c>
      <c r="C288" t="s" s="2">
        <v>3245</v>
      </c>
      <c r="D288" s="2">
        <f>HYPERLINK("https://my.zakupki.prom.ua/remote/dispatcher/state_contracting_view/4908357", "UA-2020-07-22-006216-b-b1")</f>
        <v/>
      </c>
      <c r="E288" t="s" s="1">
        <v>1455</v>
      </c>
      <c r="F288" t="s" s="1">
        <v>2694</v>
      </c>
      <c r="G288" t="s" s="1">
        <v>2694</v>
      </c>
      <c r="H288" t="s" s="1">
        <v>594</v>
      </c>
      <c r="I288" t="s" s="1">
        <v>2361</v>
      </c>
      <c r="J288" t="s" s="1">
        <v>3305</v>
      </c>
      <c r="K288" t="s" s="1">
        <v>530</v>
      </c>
      <c r="L288" t="s" s="1">
        <v>793</v>
      </c>
      <c r="M288" t="n" s="5">
        <v>346.5</v>
      </c>
      <c r="N288" t="n" s="7">
        <v>44033.0</v>
      </c>
      <c r="O288" t="n" s="7">
        <v>44196.0</v>
      </c>
      <c r="P288" t="s" s="1">
        <v>3499</v>
      </c>
    </row>
    <row r="289" spans="1:16">
      <c r="A289" t="n" s="4">
        <v>284</v>
      </c>
      <c r="B289" s="2">
        <f>HYPERLINK("https://my.zakupki.prom.ua/remote/dispatcher/state_purchase_view/18336382", "UA-2020-08-05-006611-a")</f>
        <v/>
      </c>
      <c r="C289" t="s" s="2">
        <v>3245</v>
      </c>
      <c r="D289" s="2">
        <f>HYPERLINK("https://my.zakupki.prom.ua/remote/dispatcher/state_contracting_view/5041679", "UA-2020-08-05-006611-a-a1")</f>
        <v/>
      </c>
      <c r="E289" t="s" s="1">
        <v>1528</v>
      </c>
      <c r="F289" t="s" s="1">
        <v>2547</v>
      </c>
      <c r="G289" t="s" s="1">
        <v>2547</v>
      </c>
      <c r="H289" t="s" s="1">
        <v>209</v>
      </c>
      <c r="I289" t="s" s="1">
        <v>2361</v>
      </c>
      <c r="J289" t="s" s="1">
        <v>3467</v>
      </c>
      <c r="K289" t="s" s="1">
        <v>766</v>
      </c>
      <c r="L289" t="s" s="1">
        <v>963</v>
      </c>
      <c r="M289" t="n" s="5">
        <v>3000.0</v>
      </c>
      <c r="N289" t="n" s="7">
        <v>44047.0</v>
      </c>
      <c r="O289" t="n" s="7">
        <v>44196.0</v>
      </c>
      <c r="P289" t="s" s="1">
        <v>3499</v>
      </c>
    </row>
    <row r="290" spans="1:16">
      <c r="A290" t="n" s="4">
        <v>285</v>
      </c>
      <c r="B290" s="2">
        <f>HYPERLINK("https://my.zakupki.prom.ua/remote/dispatcher/state_purchase_view/18445038", "UA-2020-08-11-001225-a")</f>
        <v/>
      </c>
      <c r="C290" t="s" s="2">
        <v>3245</v>
      </c>
      <c r="D290" s="2">
        <f>HYPERLINK("https://my.zakupki.prom.ua/remote/dispatcher/state_contracting_view/5092927", "UA-2020-08-11-001225-a-a1")</f>
        <v/>
      </c>
      <c r="E290" t="s" s="1">
        <v>2102</v>
      </c>
      <c r="F290" t="s" s="1">
        <v>2676</v>
      </c>
      <c r="G290" t="s" s="1">
        <v>2676</v>
      </c>
      <c r="H290" t="s" s="1">
        <v>454</v>
      </c>
      <c r="I290" t="s" s="1">
        <v>2361</v>
      </c>
      <c r="J290" t="s" s="1">
        <v>3251</v>
      </c>
      <c r="K290" t="s" s="1">
        <v>486</v>
      </c>
      <c r="L290" t="s" s="1">
        <v>1039</v>
      </c>
      <c r="M290" t="n" s="5">
        <v>202.4</v>
      </c>
      <c r="N290" t="n" s="7">
        <v>44053.0</v>
      </c>
      <c r="O290" t="n" s="7">
        <v>44196.0</v>
      </c>
      <c r="P290" t="s" s="1">
        <v>3499</v>
      </c>
    </row>
    <row r="291" spans="1:16">
      <c r="A291" t="n" s="4">
        <v>286</v>
      </c>
      <c r="B291" s="2">
        <f>HYPERLINK("https://my.zakupki.prom.ua/remote/dispatcher/state_purchase_view/18419747", "UA-2020-08-10-002460-a")</f>
        <v/>
      </c>
      <c r="C291" t="s" s="2">
        <v>3245</v>
      </c>
      <c r="D291" s="2">
        <f>HYPERLINK("https://my.zakupki.prom.ua/remote/dispatcher/state_contracting_view/5080931", "UA-2020-08-10-002460-a-a1")</f>
        <v/>
      </c>
      <c r="E291" t="s" s="1">
        <v>1649</v>
      </c>
      <c r="F291" t="s" s="1">
        <v>2500</v>
      </c>
      <c r="G291" t="s" s="1">
        <v>2500</v>
      </c>
      <c r="H291" t="s" s="1">
        <v>1026</v>
      </c>
      <c r="I291" t="s" s="1">
        <v>2361</v>
      </c>
      <c r="J291" t="s" s="1">
        <v>3251</v>
      </c>
      <c r="K291" t="s" s="1">
        <v>486</v>
      </c>
      <c r="L291" t="s" s="1">
        <v>1001</v>
      </c>
      <c r="M291" t="n" s="5">
        <v>110.0</v>
      </c>
      <c r="N291" t="n" s="7">
        <v>44053.0</v>
      </c>
      <c r="O291" t="n" s="7">
        <v>44196.0</v>
      </c>
      <c r="P291" t="s" s="1">
        <v>3499</v>
      </c>
    </row>
    <row r="292" spans="1:16">
      <c r="A292" t="n" s="4">
        <v>287</v>
      </c>
      <c r="B292" s="2">
        <f>HYPERLINK("https://my.zakupki.prom.ua/remote/dispatcher/state_purchase_view/17980789", "UA-2020-07-20-004347-b")</f>
        <v/>
      </c>
      <c r="C292" t="s" s="2">
        <v>3245</v>
      </c>
      <c r="D292" s="2">
        <f>HYPERLINK("https://my.zakupki.prom.ua/remote/dispatcher/state_contracting_view/4876709", "UA-2020-07-20-004347-b-b1")</f>
        <v/>
      </c>
      <c r="E292" t="s" s="1">
        <v>306</v>
      </c>
      <c r="F292" t="s" s="1">
        <v>2938</v>
      </c>
      <c r="G292" t="s" s="1">
        <v>3492</v>
      </c>
      <c r="H292" t="s" s="1">
        <v>725</v>
      </c>
      <c r="I292" t="s" s="1">
        <v>2361</v>
      </c>
      <c r="J292" t="s" s="1">
        <v>3402</v>
      </c>
      <c r="K292" t="s" s="1">
        <v>375</v>
      </c>
      <c r="L292" t="s" s="1">
        <v>397</v>
      </c>
      <c r="M292" t="n" s="5">
        <v>35877.0</v>
      </c>
      <c r="N292" t="n" s="7">
        <v>44032.0</v>
      </c>
      <c r="O292" t="n" s="7">
        <v>44196.0</v>
      </c>
      <c r="P292" t="s" s="1">
        <v>3499</v>
      </c>
    </row>
    <row r="293" spans="1:16">
      <c r="A293" t="n" s="4">
        <v>288</v>
      </c>
      <c r="B293" s="2">
        <f>HYPERLINK("https://my.zakupki.prom.ua/remote/dispatcher/state_purchase_view/17985398", "UA-2020-07-20-005584-b")</f>
        <v/>
      </c>
      <c r="C293" t="s" s="2">
        <v>3245</v>
      </c>
      <c r="D293" s="2">
        <f>HYPERLINK("https://my.zakupki.prom.ua/remote/dispatcher/state_contracting_view/4878791", "UA-2020-07-20-005584-b-b1")</f>
        <v/>
      </c>
      <c r="E293" t="s" s="1">
        <v>1691</v>
      </c>
      <c r="F293" t="s" s="1">
        <v>2791</v>
      </c>
      <c r="G293" t="s" s="1">
        <v>2791</v>
      </c>
      <c r="H293" t="s" s="1">
        <v>690</v>
      </c>
      <c r="I293" t="s" s="1">
        <v>2361</v>
      </c>
      <c r="J293" t="s" s="1">
        <v>2375</v>
      </c>
      <c r="K293" t="s" s="1">
        <v>649</v>
      </c>
      <c r="L293" t="s" s="1">
        <v>820</v>
      </c>
      <c r="M293" t="n" s="5">
        <v>20100.0</v>
      </c>
      <c r="N293" t="n" s="7">
        <v>44032.0</v>
      </c>
      <c r="O293" t="n" s="7">
        <v>44196.0</v>
      </c>
      <c r="P293" t="s" s="1">
        <v>3499</v>
      </c>
    </row>
    <row r="294" spans="1:16">
      <c r="A294" t="n" s="4">
        <v>289</v>
      </c>
      <c r="B294" s="2">
        <f>HYPERLINK("https://my.zakupki.prom.ua/remote/dispatcher/state_purchase_view/18653435", "UA-2020-08-19-003329-a")</f>
        <v/>
      </c>
      <c r="C294" t="s" s="2">
        <v>3245</v>
      </c>
      <c r="D294" s="2">
        <f>HYPERLINK("https://my.zakupki.prom.ua/remote/dispatcher/state_contracting_view/5190887", "UA-2020-08-19-003329-a-a1")</f>
        <v/>
      </c>
      <c r="E294" t="s" s="1">
        <v>2147</v>
      </c>
      <c r="F294" t="s" s="1">
        <v>2638</v>
      </c>
      <c r="G294" t="s" s="1">
        <v>2638</v>
      </c>
      <c r="H294" t="s" s="1">
        <v>297</v>
      </c>
      <c r="I294" t="s" s="1">
        <v>2361</v>
      </c>
      <c r="J294" t="s" s="1">
        <v>3467</v>
      </c>
      <c r="K294" t="s" s="1">
        <v>766</v>
      </c>
      <c r="L294" t="s" s="1">
        <v>1160</v>
      </c>
      <c r="M294" t="n" s="5">
        <v>5306.2</v>
      </c>
      <c r="N294" t="n" s="7">
        <v>44060.0</v>
      </c>
      <c r="O294" t="n" s="7">
        <v>44196.0</v>
      </c>
      <c r="P294" t="s" s="1">
        <v>3499</v>
      </c>
    </row>
    <row r="295" spans="1:16">
      <c r="A295" t="n" s="4">
        <v>290</v>
      </c>
      <c r="B295" s="2">
        <f>HYPERLINK("https://my.zakupki.prom.ua/remote/dispatcher/state_purchase_view/18364529", "UA-2020-08-06-004934-a")</f>
        <v/>
      </c>
      <c r="C295" t="s" s="2">
        <v>3245</v>
      </c>
      <c r="D295" s="2">
        <f>HYPERLINK("https://my.zakupki.prom.ua/remote/dispatcher/state_contracting_view/5055364", "UA-2020-08-06-004934-a-a1")</f>
        <v/>
      </c>
      <c r="E295" t="s" s="1">
        <v>2081</v>
      </c>
      <c r="F295" t="s" s="1">
        <v>2613</v>
      </c>
      <c r="G295" t="s" s="1">
        <v>2613</v>
      </c>
      <c r="H295" t="s" s="1">
        <v>225</v>
      </c>
      <c r="I295" t="s" s="1">
        <v>2361</v>
      </c>
      <c r="J295" t="s" s="1">
        <v>3467</v>
      </c>
      <c r="K295" t="s" s="1">
        <v>766</v>
      </c>
      <c r="L295" t="s" s="1">
        <v>984</v>
      </c>
      <c r="M295" t="n" s="5">
        <v>3850.0</v>
      </c>
      <c r="N295" t="n" s="7">
        <v>44049.0</v>
      </c>
      <c r="O295" t="n" s="7">
        <v>44196.0</v>
      </c>
      <c r="P295" t="s" s="1">
        <v>3499</v>
      </c>
    </row>
    <row r="296" spans="1:16">
      <c r="A296" t="n" s="4">
        <v>291</v>
      </c>
      <c r="B296" s="2">
        <f>HYPERLINK("https://my.zakupki.prom.ua/remote/dispatcher/state_purchase_view/18272409", "UA-2020-08-03-003600-a")</f>
        <v/>
      </c>
      <c r="C296" t="s" s="2">
        <v>3245</v>
      </c>
      <c r="D296" s="2">
        <f>HYPERLINK("https://my.zakupki.prom.ua/remote/dispatcher/state_contracting_view/5012411", "UA-2020-08-03-003600-a-a1")</f>
        <v/>
      </c>
      <c r="E296" t="s" s="1">
        <v>2013</v>
      </c>
      <c r="F296" t="s" s="1">
        <v>2507</v>
      </c>
      <c r="G296" t="s" s="1">
        <v>2507</v>
      </c>
      <c r="H296" t="s" s="1">
        <v>39</v>
      </c>
      <c r="I296" t="s" s="1">
        <v>2361</v>
      </c>
      <c r="J296" t="s" s="1">
        <v>3467</v>
      </c>
      <c r="K296" t="s" s="1">
        <v>766</v>
      </c>
      <c r="L296" t="s" s="1">
        <v>936</v>
      </c>
      <c r="M296" t="n" s="5">
        <v>4390.24</v>
      </c>
      <c r="N296" t="n" s="7">
        <v>44045.0</v>
      </c>
      <c r="O296" t="n" s="7">
        <v>44196.0</v>
      </c>
      <c r="P296" t="s" s="1">
        <v>3499</v>
      </c>
    </row>
    <row r="297" spans="1:16">
      <c r="A297" t="n" s="4">
        <v>292</v>
      </c>
      <c r="B297" s="2">
        <f>HYPERLINK("https://my.zakupki.prom.ua/remote/dispatcher/state_purchase_view/17989891", "UA-2020-07-20-006782-b")</f>
        <v/>
      </c>
      <c r="C297" t="s" s="2">
        <v>3245</v>
      </c>
      <c r="D297" s="2">
        <f>HYPERLINK("https://my.zakupki.prom.ua/remote/dispatcher/state_contracting_view/4944755", "UA-2020-07-20-006782-b-b1")</f>
        <v/>
      </c>
      <c r="E297" t="s" s="1">
        <v>2218</v>
      </c>
      <c r="F297" t="s" s="1">
        <v>2860</v>
      </c>
      <c r="G297" t="s" s="1">
        <v>3473</v>
      </c>
      <c r="H297" t="s" s="1">
        <v>718</v>
      </c>
      <c r="I297" t="s" s="1">
        <v>3313</v>
      </c>
      <c r="J297" t="s" s="1">
        <v>3302</v>
      </c>
      <c r="K297" t="s" s="1">
        <v>617</v>
      </c>
      <c r="L297" t="s" s="1">
        <v>1332</v>
      </c>
      <c r="M297" t="n" s="5">
        <v>182943.6</v>
      </c>
      <c r="N297" t="n" s="7">
        <v>44039.0</v>
      </c>
      <c r="O297" t="n" s="7">
        <v>44196.0</v>
      </c>
      <c r="P297" t="s" s="1">
        <v>3499</v>
      </c>
    </row>
    <row r="298" spans="1:16">
      <c r="A298" t="n" s="4">
        <v>293</v>
      </c>
      <c r="B298" s="2">
        <f>HYPERLINK("https://my.zakupki.prom.ua/remote/dispatcher/state_purchase_view/18647684", "UA-2020-08-19-001755-a")</f>
        <v/>
      </c>
      <c r="C298" t="s" s="2">
        <v>3245</v>
      </c>
      <c r="D298" s="2">
        <f>HYPERLINK("https://my.zakupki.prom.ua/remote/dispatcher/state_contracting_view/5188294", "UA-2020-08-19-001755-a-a1")</f>
        <v/>
      </c>
      <c r="E298" t="s" s="1">
        <v>2052</v>
      </c>
      <c r="F298" t="s" s="1">
        <v>2542</v>
      </c>
      <c r="G298" t="s" s="1">
        <v>2542</v>
      </c>
      <c r="H298" t="s" s="1">
        <v>207</v>
      </c>
      <c r="I298" t="s" s="1">
        <v>2361</v>
      </c>
      <c r="J298" t="s" s="1">
        <v>3467</v>
      </c>
      <c r="K298" t="s" s="1">
        <v>766</v>
      </c>
      <c r="L298" t="s" s="1">
        <v>1147</v>
      </c>
      <c r="M298" t="n" s="5">
        <v>17597.5</v>
      </c>
      <c r="N298" t="n" s="7">
        <v>44060.0</v>
      </c>
      <c r="O298" t="n" s="7">
        <v>44196.0</v>
      </c>
      <c r="P298" t="s" s="1">
        <v>3499</v>
      </c>
    </row>
    <row r="299" spans="1:16">
      <c r="A299" t="n" s="4">
        <v>294</v>
      </c>
      <c r="B299" s="2">
        <f>HYPERLINK("https://my.zakupki.prom.ua/remote/dispatcher/state_purchase_view/18517734", "UA-2020-08-13-002581-a")</f>
        <v/>
      </c>
      <c r="C299" t="s" s="2">
        <v>3245</v>
      </c>
      <c r="D299" s="2">
        <f>HYPERLINK("https://my.zakupki.prom.ua/remote/dispatcher/state_contracting_view/5127222", "UA-2020-08-13-002581-a-a1")</f>
        <v/>
      </c>
      <c r="E299" t="s" s="1">
        <v>2259</v>
      </c>
      <c r="F299" t="s" s="1">
        <v>2703</v>
      </c>
      <c r="G299" t="s" s="1">
        <v>2703</v>
      </c>
      <c r="H299" t="s" s="1">
        <v>603</v>
      </c>
      <c r="I299" t="s" s="1">
        <v>2361</v>
      </c>
      <c r="J299" t="s" s="1">
        <v>3384</v>
      </c>
      <c r="K299" t="s" s="1">
        <v>930</v>
      </c>
      <c r="L299" t="s" s="1">
        <v>111</v>
      </c>
      <c r="M299" t="n" s="5">
        <v>18500.0</v>
      </c>
      <c r="N299" t="n" s="7">
        <v>44054.0</v>
      </c>
      <c r="O299" t="n" s="7">
        <v>44196.0</v>
      </c>
      <c r="P299" t="s" s="1">
        <v>3499</v>
      </c>
    </row>
    <row r="300" spans="1:16">
      <c r="A300" t="n" s="4">
        <v>295</v>
      </c>
      <c r="B300" s="2">
        <f>HYPERLINK("https://my.zakupki.prom.ua/remote/dispatcher/state_purchase_view/18479390", "UA-2020-08-12-001615-a")</f>
        <v/>
      </c>
      <c r="C300" t="s" s="2">
        <v>3245</v>
      </c>
      <c r="D300" s="2">
        <f>HYPERLINK("https://my.zakupki.prom.ua/remote/dispatcher/state_contracting_view/5109216", "UA-2020-08-12-001615-a-a1")</f>
        <v/>
      </c>
      <c r="E300" t="s" s="1">
        <v>1549</v>
      </c>
      <c r="F300" t="s" s="1">
        <v>2547</v>
      </c>
      <c r="G300" t="s" s="1">
        <v>2547</v>
      </c>
      <c r="H300" t="s" s="1">
        <v>209</v>
      </c>
      <c r="I300" t="s" s="1">
        <v>2361</v>
      </c>
      <c r="J300" t="s" s="1">
        <v>3467</v>
      </c>
      <c r="K300" t="s" s="1">
        <v>766</v>
      </c>
      <c r="L300" t="s" s="1">
        <v>1063</v>
      </c>
      <c r="M300" t="n" s="5">
        <v>3750.0</v>
      </c>
      <c r="N300" t="n" s="7">
        <v>44053.0</v>
      </c>
      <c r="O300" t="n" s="7">
        <v>44196.0</v>
      </c>
      <c r="P300" t="s" s="1">
        <v>3499</v>
      </c>
    </row>
    <row r="301" spans="1:16">
      <c r="A301" t="n" s="4">
        <v>296</v>
      </c>
      <c r="B301" s="2">
        <f>HYPERLINK("https://my.zakupki.prom.ua/remote/dispatcher/state_purchase_view/20732363", "UA-2020-11-04-002284-c")</f>
        <v/>
      </c>
      <c r="C301" t="s" s="2">
        <v>3245</v>
      </c>
      <c r="D301" s="2">
        <f>HYPERLINK("https://my.zakupki.prom.ua/remote/dispatcher/state_contracting_view/6180553", "UA-2020-11-04-002284-c-c1")</f>
        <v/>
      </c>
      <c r="E301" t="s" s="1">
        <v>905</v>
      </c>
      <c r="F301" t="s" s="1">
        <v>2603</v>
      </c>
      <c r="G301" t="s" s="1">
        <v>2603</v>
      </c>
      <c r="H301" t="s" s="1">
        <v>221</v>
      </c>
      <c r="I301" t="s" s="1">
        <v>2361</v>
      </c>
      <c r="J301" t="s" s="1">
        <v>3467</v>
      </c>
      <c r="K301" t="s" s="1">
        <v>766</v>
      </c>
      <c r="L301" t="s" s="1">
        <v>1624</v>
      </c>
      <c r="M301" t="n" s="5">
        <v>7700.0</v>
      </c>
      <c r="N301" t="n" s="7">
        <v>44137.0</v>
      </c>
      <c r="O301" t="n" s="7">
        <v>44196.0</v>
      </c>
      <c r="P301" t="s" s="1">
        <v>3499</v>
      </c>
    </row>
    <row r="302" spans="1:16">
      <c r="A302" t="n" s="4">
        <v>297</v>
      </c>
      <c r="B302" s="2">
        <f>HYPERLINK("https://my.zakupki.prom.ua/remote/dispatcher/state_purchase_view/14656745", "UA-2020-01-21-001830-c")</f>
        <v/>
      </c>
      <c r="C302" t="s" s="2">
        <v>3245</v>
      </c>
      <c r="D302" s="2">
        <f>HYPERLINK("https://my.zakupki.prom.ua/remote/dispatcher/state_contracting_view/3655107", "UA-2020-01-21-001830-c-c1")</f>
        <v/>
      </c>
      <c r="E302" t="s" s="1">
        <v>1333</v>
      </c>
      <c r="F302" t="s" s="1">
        <v>729</v>
      </c>
      <c r="G302" t="s" s="1">
        <v>3519</v>
      </c>
      <c r="H302" t="s" s="1">
        <v>729</v>
      </c>
      <c r="I302" t="s" s="1">
        <v>2361</v>
      </c>
      <c r="J302" t="s" s="1">
        <v>3392</v>
      </c>
      <c r="K302" t="s" s="1">
        <v>428</v>
      </c>
      <c r="L302" t="s" s="1">
        <v>1133</v>
      </c>
      <c r="M302" t="n" s="5">
        <v>13300.0</v>
      </c>
      <c r="N302" t="n" s="7">
        <v>43851.0</v>
      </c>
      <c r="O302" t="n" s="7">
        <v>44196.0</v>
      </c>
      <c r="P302" t="s" s="1">
        <v>3499</v>
      </c>
    </row>
    <row r="303" spans="1:16">
      <c r="A303" t="n" s="4">
        <v>298</v>
      </c>
      <c r="B303" s="2">
        <f>HYPERLINK("https://my.zakupki.prom.ua/remote/dispatcher/state_purchase_view/16574235", "UA-2020-05-07-001811-b")</f>
        <v/>
      </c>
      <c r="C303" t="s" s="2">
        <v>3245</v>
      </c>
      <c r="D303" s="2">
        <f>HYPERLINK("https://my.zakupki.prom.ua/remote/dispatcher/state_contracting_view/4242262", "UA-2020-05-07-001811-b-b1")</f>
        <v/>
      </c>
      <c r="E303" t="s" s="1">
        <v>547</v>
      </c>
      <c r="F303" t="s" s="1">
        <v>2338</v>
      </c>
      <c r="G303" t="s" s="1">
        <v>2338</v>
      </c>
      <c r="H303" t="s" s="1">
        <v>742</v>
      </c>
      <c r="I303" t="s" s="1">
        <v>2361</v>
      </c>
      <c r="J303" t="s" s="1">
        <v>3249</v>
      </c>
      <c r="K303" t="s" s="1">
        <v>419</v>
      </c>
      <c r="L303" t="s" s="1">
        <v>191</v>
      </c>
      <c r="M303" t="n" s="5">
        <v>1500.0</v>
      </c>
      <c r="N303" t="n" s="7">
        <v>43956.0</v>
      </c>
      <c r="O303" t="n" s="7">
        <v>44196.0</v>
      </c>
      <c r="P303" t="s" s="1">
        <v>3499</v>
      </c>
    </row>
    <row r="304" spans="1:16">
      <c r="A304" t="n" s="4">
        <v>299</v>
      </c>
      <c r="B304" s="2">
        <f>HYPERLINK("https://my.zakupki.prom.ua/remote/dispatcher/state_purchase_view/16545857", "UA-2020-05-05-001575-b")</f>
        <v/>
      </c>
      <c r="C304" t="s" s="2">
        <v>3245</v>
      </c>
      <c r="D304" s="2">
        <f>HYPERLINK("https://my.zakupki.prom.ua/remote/dispatcher/state_contracting_view/4221461", "UA-2020-05-05-001575-b-b1")</f>
        <v/>
      </c>
      <c r="E304" t="s" s="1">
        <v>2087</v>
      </c>
      <c r="F304" t="s" s="1">
        <v>2301</v>
      </c>
      <c r="G304" t="s" s="1">
        <v>2301</v>
      </c>
      <c r="H304" t="s" s="1">
        <v>1003</v>
      </c>
      <c r="I304" t="s" s="1">
        <v>2361</v>
      </c>
      <c r="J304" t="s" s="1">
        <v>3251</v>
      </c>
      <c r="K304" t="s" s="1">
        <v>486</v>
      </c>
      <c r="L304" t="s" s="1">
        <v>189</v>
      </c>
      <c r="M304" t="n" s="5">
        <v>24683.0</v>
      </c>
      <c r="N304" t="n" s="7">
        <v>43956.0</v>
      </c>
      <c r="O304" t="n" s="7">
        <v>44196.0</v>
      </c>
      <c r="P304" t="s" s="1">
        <v>3499</v>
      </c>
    </row>
    <row r="305" spans="1:16">
      <c r="A305" t="n" s="4">
        <v>300</v>
      </c>
      <c r="B305" s="2">
        <f>HYPERLINK("https://my.zakupki.prom.ua/remote/dispatcher/state_purchase_view/15955151", "UA-2020-03-25-001664-b")</f>
        <v/>
      </c>
      <c r="C305" t="s" s="2">
        <v>3245</v>
      </c>
      <c r="D305" s="2">
        <f>HYPERLINK("https://my.zakupki.prom.ua/remote/dispatcher/state_contracting_view/3999770", "UA-2020-03-25-001664-b-b1")</f>
        <v/>
      </c>
      <c r="E305" t="s" s="1">
        <v>1779</v>
      </c>
      <c r="F305" t="s" s="1">
        <v>2364</v>
      </c>
      <c r="G305" t="s" s="1">
        <v>2364</v>
      </c>
      <c r="H305" t="s" s="1">
        <v>690</v>
      </c>
      <c r="I305" t="s" s="1">
        <v>2361</v>
      </c>
      <c r="J305" t="s" s="1">
        <v>3392</v>
      </c>
      <c r="K305" t="s" s="1">
        <v>428</v>
      </c>
      <c r="L305" t="s" s="1">
        <v>1749</v>
      </c>
      <c r="M305" t="n" s="5">
        <v>21975.0</v>
      </c>
      <c r="N305" t="n" s="7">
        <v>43913.0</v>
      </c>
      <c r="O305" t="n" s="7">
        <v>44196.0</v>
      </c>
      <c r="P305" t="s" s="1">
        <v>3499</v>
      </c>
    </row>
    <row r="306" spans="1:16">
      <c r="A306" t="n" s="4">
        <v>301</v>
      </c>
      <c r="B306" s="2">
        <f>HYPERLINK("https://my.zakupki.prom.ua/remote/dispatcher/state_purchase_view/15674869", "UA-2020-03-10-001401-a")</f>
        <v/>
      </c>
      <c r="C306" t="s" s="2">
        <v>3245</v>
      </c>
      <c r="D306" s="2">
        <f>HYPERLINK("https://my.zakupki.prom.ua/remote/dispatcher/state_contracting_view/3911214", "UA-2020-03-10-001401-a-a1")</f>
        <v/>
      </c>
      <c r="E306" t="s" s="1">
        <v>326</v>
      </c>
      <c r="F306" t="s" s="1">
        <v>2285</v>
      </c>
      <c r="G306" t="s" s="1">
        <v>2285</v>
      </c>
      <c r="H306" t="s" s="1">
        <v>1514</v>
      </c>
      <c r="I306" t="s" s="1">
        <v>2361</v>
      </c>
      <c r="J306" t="s" s="1">
        <v>3410</v>
      </c>
      <c r="K306" t="s" s="1">
        <v>822</v>
      </c>
      <c r="L306" t="s" s="1">
        <v>1071</v>
      </c>
      <c r="M306" t="n" s="5">
        <v>5400.0</v>
      </c>
      <c r="N306" t="n" s="7">
        <v>43900.0</v>
      </c>
      <c r="O306" t="n" s="7">
        <v>44196.0</v>
      </c>
      <c r="P306" t="s" s="1">
        <v>3499</v>
      </c>
    </row>
    <row r="307" spans="1:16">
      <c r="A307" t="n" s="4">
        <v>302</v>
      </c>
      <c r="B307" s="2">
        <f>HYPERLINK("https://my.zakupki.prom.ua/remote/dispatcher/state_purchase_view/15880189", "UA-2020-03-20-001809-b")</f>
        <v/>
      </c>
      <c r="C307" t="s" s="2">
        <v>3245</v>
      </c>
      <c r="D307" s="2">
        <f>HYPERLINK("https://my.zakupki.prom.ua/remote/dispatcher/state_contracting_view/3974871", "UA-2020-03-20-001809-b-b1")</f>
        <v/>
      </c>
      <c r="E307" t="s" s="1">
        <v>480</v>
      </c>
      <c r="F307" t="s" s="1">
        <v>3230</v>
      </c>
      <c r="G307" t="s" s="1">
        <v>3230</v>
      </c>
      <c r="H307" t="s" s="1">
        <v>735</v>
      </c>
      <c r="I307" t="s" s="1">
        <v>2361</v>
      </c>
      <c r="J307" t="s" s="1">
        <v>3417</v>
      </c>
      <c r="K307" t="s" s="1">
        <v>950</v>
      </c>
      <c r="L307" t="s" s="1">
        <v>3172</v>
      </c>
      <c r="M307" t="n" s="5">
        <v>892.0</v>
      </c>
      <c r="N307" t="n" s="7">
        <v>43910.0</v>
      </c>
      <c r="O307" t="n" s="7">
        <v>44196.0</v>
      </c>
      <c r="P307" t="s" s="1">
        <v>3499</v>
      </c>
    </row>
    <row r="308" spans="1:16">
      <c r="A308" t="n" s="4">
        <v>303</v>
      </c>
      <c r="B308" s="2">
        <f>HYPERLINK("https://my.zakupki.prom.ua/remote/dispatcher/state_purchase_view/15299882", "UA-2020-02-14-002033-c")</f>
        <v/>
      </c>
      <c r="C308" t="s" s="2">
        <v>3245</v>
      </c>
      <c r="D308" s="2">
        <f>HYPERLINK("https://my.zakupki.prom.ua/remote/dispatcher/state_contracting_view/3804110", "UA-2020-02-14-002033-c-c1")</f>
        <v/>
      </c>
      <c r="E308" t="s" s="1">
        <v>25</v>
      </c>
      <c r="F308" t="s" s="1">
        <v>73</v>
      </c>
      <c r="G308" t="s" s="1">
        <v>0</v>
      </c>
      <c r="H308" t="s" s="1">
        <v>72</v>
      </c>
      <c r="I308" t="s" s="1">
        <v>2361</v>
      </c>
      <c r="J308" t="s" s="1">
        <v>3398</v>
      </c>
      <c r="K308" t="s" s="1">
        <v>865</v>
      </c>
      <c r="L308" t="s" s="1">
        <v>953</v>
      </c>
      <c r="M308" t="n" s="5">
        <v>11800.0</v>
      </c>
      <c r="N308" t="n" s="7">
        <v>43874.0</v>
      </c>
      <c r="O308" t="n" s="7">
        <v>44196.0</v>
      </c>
      <c r="P308" t="s" s="1">
        <v>3499</v>
      </c>
    </row>
    <row r="309" spans="1:16">
      <c r="A309" t="n" s="4">
        <v>304</v>
      </c>
      <c r="B309" s="2">
        <f>HYPERLINK("https://my.zakupki.prom.ua/remote/dispatcher/state_purchase_view/16917944", "UA-2020-05-28-003932-b")</f>
        <v/>
      </c>
      <c r="C309" t="s" s="2">
        <v>3245</v>
      </c>
      <c r="D309" s="2">
        <f>HYPERLINK("https://my.zakupki.prom.ua/remote/dispatcher/state_contracting_view/4386509", "UA-2020-05-28-003932-b-b1")</f>
        <v/>
      </c>
      <c r="E309" t="s" s="1">
        <v>1738</v>
      </c>
      <c r="F309" t="s" s="1">
        <v>596</v>
      </c>
      <c r="G309" t="s" s="1">
        <v>596</v>
      </c>
      <c r="H309" t="s" s="1">
        <v>596</v>
      </c>
      <c r="I309" t="s" s="1">
        <v>2361</v>
      </c>
      <c r="J309" t="s" s="1">
        <v>2316</v>
      </c>
      <c r="K309" t="s" s="1">
        <v>768</v>
      </c>
      <c r="L309" t="s" s="1">
        <v>212</v>
      </c>
      <c r="M309" t="n" s="5">
        <v>7811.5</v>
      </c>
      <c r="N309" t="n" s="7">
        <v>43979.0</v>
      </c>
      <c r="O309" t="n" s="7">
        <v>44196.0</v>
      </c>
      <c r="P309" t="s" s="1">
        <v>3499</v>
      </c>
    </row>
    <row r="310" spans="1:16">
      <c r="A310" t="n" s="4">
        <v>305</v>
      </c>
      <c r="B310" s="2">
        <f>HYPERLINK("https://my.zakupki.prom.ua/remote/dispatcher/state_purchase_view/17664772", "UA-2020-07-06-001832-a")</f>
        <v/>
      </c>
      <c r="C310" t="s" s="2">
        <v>3245</v>
      </c>
      <c r="D310" s="2">
        <f>HYPERLINK("https://my.zakupki.prom.ua/remote/dispatcher/state_contracting_view/4729693", "UA-2020-07-06-001832-a-a1")</f>
        <v/>
      </c>
      <c r="E310" t="s" s="1">
        <v>1909</v>
      </c>
      <c r="F310" t="s" s="1">
        <v>2683</v>
      </c>
      <c r="G310" t="s" s="1">
        <v>2681</v>
      </c>
      <c r="H310" t="s" s="1">
        <v>456</v>
      </c>
      <c r="I310" t="s" s="1">
        <v>2361</v>
      </c>
      <c r="J310" t="s" s="1">
        <v>2292</v>
      </c>
      <c r="K310" t="s" s="1">
        <v>545</v>
      </c>
      <c r="L310" t="s" s="1">
        <v>493</v>
      </c>
      <c r="M310" t="n" s="5">
        <v>1750.0</v>
      </c>
      <c r="N310" t="n" s="7">
        <v>44018.0</v>
      </c>
      <c r="O310" t="n" s="7">
        <v>44196.0</v>
      </c>
      <c r="P310" t="s" s="1">
        <v>3499</v>
      </c>
    </row>
    <row r="311" spans="1:16">
      <c r="A311" t="n" s="4">
        <v>306</v>
      </c>
      <c r="B311" s="2">
        <f>HYPERLINK("https://my.zakupki.prom.ua/remote/dispatcher/state_purchase_view/17663028", "UA-2020-07-06-001366-a")</f>
        <v/>
      </c>
      <c r="C311" t="s" s="2">
        <v>3245</v>
      </c>
      <c r="D311" s="2">
        <f>HYPERLINK("https://my.zakupki.prom.ua/remote/dispatcher/state_contracting_view/4729163", "UA-2020-07-06-001366-a-a1")</f>
        <v/>
      </c>
      <c r="E311" t="s" s="1">
        <v>2114</v>
      </c>
      <c r="F311" t="s" s="1">
        <v>2682</v>
      </c>
      <c r="G311" t="s" s="1">
        <v>2682</v>
      </c>
      <c r="H311" t="s" s="1">
        <v>456</v>
      </c>
      <c r="I311" t="s" s="1">
        <v>2361</v>
      </c>
      <c r="J311" t="s" s="1">
        <v>3434</v>
      </c>
      <c r="K311" t="s" s="1">
        <v>545</v>
      </c>
      <c r="L311" t="s" s="1">
        <v>489</v>
      </c>
      <c r="M311" t="n" s="5">
        <v>3407.0</v>
      </c>
      <c r="N311" t="n" s="7">
        <v>44018.0</v>
      </c>
      <c r="O311" t="n" s="7">
        <v>44196.0</v>
      </c>
      <c r="P311" t="s" s="1">
        <v>3499</v>
      </c>
    </row>
    <row r="312" spans="1:16">
      <c r="A312" t="n" s="4">
        <v>307</v>
      </c>
      <c r="B312" s="2">
        <f>HYPERLINK("https://my.zakupki.prom.ua/remote/dispatcher/state_purchase_view/17636444", "UA-2020-07-03-002902-a")</f>
        <v/>
      </c>
      <c r="C312" t="s" s="2">
        <v>3245</v>
      </c>
      <c r="D312" s="2">
        <f>HYPERLINK("https://my.zakupki.prom.ua/remote/dispatcher/state_contracting_view/4716473", "UA-2020-07-03-002902-a-a1")</f>
        <v/>
      </c>
      <c r="E312" t="s" s="1">
        <v>2116</v>
      </c>
      <c r="F312" t="s" s="1">
        <v>2425</v>
      </c>
      <c r="G312" t="s" s="1">
        <v>2425</v>
      </c>
      <c r="H312" t="s" s="1">
        <v>1665</v>
      </c>
      <c r="I312" t="s" s="1">
        <v>2361</v>
      </c>
      <c r="J312" t="s" s="1">
        <v>3376</v>
      </c>
      <c r="K312" t="s" s="1">
        <v>846</v>
      </c>
      <c r="L312" t="s" s="1">
        <v>412</v>
      </c>
      <c r="M312" t="n" s="5">
        <v>215000.0</v>
      </c>
      <c r="N312" t="n" s="7">
        <v>44015.0</v>
      </c>
      <c r="O312" t="n" s="7">
        <v>44196.0</v>
      </c>
      <c r="P312" t="s" s="1">
        <v>3499</v>
      </c>
    </row>
    <row r="313" spans="1:16">
      <c r="A313" t="n" s="4">
        <v>308</v>
      </c>
      <c r="B313" s="2">
        <f>HYPERLINK("https://my.zakupki.prom.ua/remote/dispatcher/state_purchase_view/17764732", "UA-2020-07-09-004103-c")</f>
        <v/>
      </c>
      <c r="C313" t="s" s="2">
        <v>3245</v>
      </c>
      <c r="D313" s="2">
        <f>HYPERLINK("https://my.zakupki.prom.ua/remote/dispatcher/state_contracting_view/4776754", "UA-2020-07-09-004103-c-c1")</f>
        <v/>
      </c>
      <c r="E313" t="s" s="1">
        <v>1890</v>
      </c>
      <c r="F313" t="s" s="1">
        <v>2679</v>
      </c>
      <c r="G313" t="s" s="1">
        <v>2679</v>
      </c>
      <c r="H313" t="s" s="1">
        <v>456</v>
      </c>
      <c r="I313" t="s" s="1">
        <v>2361</v>
      </c>
      <c r="J313" t="s" s="1">
        <v>2292</v>
      </c>
      <c r="K313" t="s" s="1">
        <v>545</v>
      </c>
      <c r="L313" t="s" s="1">
        <v>556</v>
      </c>
      <c r="M313" t="n" s="5">
        <v>1300.0</v>
      </c>
      <c r="N313" t="n" s="7">
        <v>44021.0</v>
      </c>
      <c r="O313" t="n" s="7">
        <v>44196.0</v>
      </c>
      <c r="P313" t="s" s="1">
        <v>3499</v>
      </c>
    </row>
    <row r="314" spans="1:16">
      <c r="A314" t="n" s="4">
        <v>309</v>
      </c>
      <c r="B314" s="2">
        <f>HYPERLINK("https://my.zakupki.prom.ua/remote/dispatcher/state_purchase_view/17682082", "UA-2020-07-06-006464-a")</f>
        <v/>
      </c>
      <c r="C314" t="s" s="2">
        <v>3245</v>
      </c>
      <c r="D314" s="2">
        <f>HYPERLINK("https://my.zakupki.prom.ua/remote/dispatcher/state_contracting_view/4738073", "UA-2020-07-06-006464-a-a1")</f>
        <v/>
      </c>
      <c r="E314" t="s" s="1">
        <v>2083</v>
      </c>
      <c r="F314" t="s" s="1">
        <v>2769</v>
      </c>
      <c r="G314" t="s" s="1">
        <v>2769</v>
      </c>
      <c r="H314" t="s" s="1">
        <v>690</v>
      </c>
      <c r="I314" t="s" s="1">
        <v>2361</v>
      </c>
      <c r="J314" t="s" s="1">
        <v>3392</v>
      </c>
      <c r="K314" t="s" s="1">
        <v>428</v>
      </c>
      <c r="L314" t="s" s="1">
        <v>505</v>
      </c>
      <c r="M314" t="n" s="5">
        <v>4034.0</v>
      </c>
      <c r="N314" t="n" s="7">
        <v>44018.0</v>
      </c>
      <c r="O314" t="n" s="7">
        <v>44196.0</v>
      </c>
      <c r="P314" t="s" s="1">
        <v>3499</v>
      </c>
    </row>
    <row r="315" spans="1:16">
      <c r="A315" t="n" s="4">
        <v>310</v>
      </c>
      <c r="B315" s="2">
        <f>HYPERLINK("https://my.zakupki.prom.ua/remote/dispatcher/state_purchase_view/17692118", "UA-2020-07-07-001368-a")</f>
        <v/>
      </c>
      <c r="C315" t="s" s="2">
        <v>3245</v>
      </c>
      <c r="D315" s="2">
        <f>HYPERLINK("https://my.zakupki.prom.ua/remote/dispatcher/state_contracting_view/4742366", "UA-2020-07-07-001368-a-a1")</f>
        <v/>
      </c>
      <c r="E315" t="s" s="1">
        <v>1299</v>
      </c>
      <c r="F315" t="s" s="1">
        <v>2801</v>
      </c>
      <c r="G315" t="s" s="1">
        <v>2801</v>
      </c>
      <c r="H315" t="s" s="1">
        <v>690</v>
      </c>
      <c r="I315" t="s" s="1">
        <v>2361</v>
      </c>
      <c r="J315" t="s" s="1">
        <v>3392</v>
      </c>
      <c r="K315" t="s" s="1">
        <v>428</v>
      </c>
      <c r="L315" t="s" s="1">
        <v>510</v>
      </c>
      <c r="M315" t="n" s="5">
        <v>2902.14</v>
      </c>
      <c r="N315" t="n" s="7">
        <v>44018.0</v>
      </c>
      <c r="O315" t="n" s="7">
        <v>44196.0</v>
      </c>
      <c r="P315" t="s" s="1">
        <v>3499</v>
      </c>
    </row>
    <row r="316" spans="1:16">
      <c r="A316" t="n" s="4">
        <v>311</v>
      </c>
      <c r="B316" s="2">
        <f>HYPERLINK("https://my.zakupki.prom.ua/remote/dispatcher/state_purchase_view/17697932", "UA-2020-07-07-002987-a")</f>
        <v/>
      </c>
      <c r="C316" t="s" s="2">
        <v>3245</v>
      </c>
      <c r="D316" s="2">
        <f>HYPERLINK("https://my.zakupki.prom.ua/remote/dispatcher/state_contracting_view/4745038", "UA-2020-07-07-002987-a-a1")</f>
        <v/>
      </c>
      <c r="E316" t="s" s="1">
        <v>2095</v>
      </c>
      <c r="F316" t="s" s="1">
        <v>2902</v>
      </c>
      <c r="G316" t="s" s="1">
        <v>3310</v>
      </c>
      <c r="H316" t="s" s="1">
        <v>718</v>
      </c>
      <c r="I316" t="s" s="1">
        <v>2361</v>
      </c>
      <c r="J316" t="s" s="1">
        <v>3392</v>
      </c>
      <c r="K316" t="s" s="1">
        <v>428</v>
      </c>
      <c r="L316" t="s" s="1">
        <v>514</v>
      </c>
      <c r="M316" t="n" s="5">
        <v>27485.13</v>
      </c>
      <c r="N316" t="n" s="7">
        <v>44018.0</v>
      </c>
      <c r="O316" t="n" s="7">
        <v>44196.0</v>
      </c>
      <c r="P316" t="s" s="1">
        <v>3499</v>
      </c>
    </row>
    <row r="317" spans="1:16">
      <c r="A317" t="n" s="4">
        <v>312</v>
      </c>
      <c r="B317" s="2">
        <f>HYPERLINK("https://my.zakupki.prom.ua/remote/dispatcher/state_purchase_view/17865449", "UA-2020-07-14-005700-c")</f>
        <v/>
      </c>
      <c r="C317" t="s" s="2">
        <v>3245</v>
      </c>
      <c r="D317" s="2">
        <f>HYPERLINK("https://my.zakupki.prom.ua/remote/dispatcher/state_contracting_view/4873321", "UA-2020-07-14-005700-c-c1")</f>
        <v/>
      </c>
      <c r="E317" t="s" s="1">
        <v>1596</v>
      </c>
      <c r="F317" t="s" s="1">
        <v>2861</v>
      </c>
      <c r="G317" t="s" s="1">
        <v>3472</v>
      </c>
      <c r="H317" t="s" s="1">
        <v>718</v>
      </c>
      <c r="I317" t="s" s="1">
        <v>3313</v>
      </c>
      <c r="J317" t="s" s="1">
        <v>3302</v>
      </c>
      <c r="K317" t="s" s="1">
        <v>617</v>
      </c>
      <c r="L317" t="s" s="1">
        <v>635</v>
      </c>
      <c r="M317" t="n" s="5">
        <v>67282.25</v>
      </c>
      <c r="N317" t="n" s="7">
        <v>44032.0</v>
      </c>
      <c r="O317" t="n" s="7">
        <v>44196.0</v>
      </c>
      <c r="P317" t="s" s="1">
        <v>3499</v>
      </c>
    </row>
    <row r="318" spans="1:16">
      <c r="A318" t="n" s="4">
        <v>313</v>
      </c>
      <c r="B318" s="2">
        <f>HYPERLINK("https://my.zakupki.prom.ua/remote/dispatcher/state_purchase_view/17667954", "UA-2020-07-06-002625-a")</f>
        <v/>
      </c>
      <c r="C318" t="s" s="2">
        <v>3245</v>
      </c>
      <c r="D318" s="2">
        <f>HYPERLINK("https://my.zakupki.prom.ua/remote/dispatcher/state_contracting_view/4732170", "UA-2020-07-06-002625-a-a1")</f>
        <v/>
      </c>
      <c r="E318" t="s" s="1">
        <v>455</v>
      </c>
      <c r="F318" t="s" s="1">
        <v>2704</v>
      </c>
      <c r="G318" t="s" s="1">
        <v>2705</v>
      </c>
      <c r="H318" t="s" s="1">
        <v>603</v>
      </c>
      <c r="I318" t="s" s="1">
        <v>2361</v>
      </c>
      <c r="J318" t="s" s="1">
        <v>3384</v>
      </c>
      <c r="K318" t="s" s="1">
        <v>930</v>
      </c>
      <c r="L318" t="s" s="1">
        <v>496</v>
      </c>
      <c r="M318" t="n" s="5">
        <v>8900.0</v>
      </c>
      <c r="N318" t="n" s="7">
        <v>44018.0</v>
      </c>
      <c r="O318" t="n" s="7">
        <v>44196.0</v>
      </c>
      <c r="P318" t="s" s="1">
        <v>3499</v>
      </c>
    </row>
    <row r="319" spans="1:16">
      <c r="A319" t="n" s="4">
        <v>314</v>
      </c>
      <c r="B319" s="2">
        <f>HYPERLINK("https://my.zakupki.prom.ua/remote/dispatcher/state_purchase_view/18338808", "UA-2020-08-05-007258-a")</f>
        <v/>
      </c>
      <c r="C319" t="s" s="2">
        <v>3245</v>
      </c>
      <c r="D319" s="2">
        <f>HYPERLINK("https://my.zakupki.prom.ua/remote/dispatcher/state_contracting_view/5043121", "UA-2020-08-05-007258-a-a1")</f>
        <v/>
      </c>
      <c r="E319" t="s" s="1">
        <v>973</v>
      </c>
      <c r="F319" t="s" s="1">
        <v>2541</v>
      </c>
      <c r="G319" t="s" s="1">
        <v>2541</v>
      </c>
      <c r="H319" t="s" s="1">
        <v>207</v>
      </c>
      <c r="I319" t="s" s="1">
        <v>2361</v>
      </c>
      <c r="J319" t="s" s="1">
        <v>3467</v>
      </c>
      <c r="K319" t="s" s="1">
        <v>766</v>
      </c>
      <c r="L319" t="s" s="1">
        <v>970</v>
      </c>
      <c r="M319" t="n" s="5">
        <v>17546.4</v>
      </c>
      <c r="N319" t="n" s="7">
        <v>44047.0</v>
      </c>
      <c r="O319" t="n" s="7">
        <v>44196.0</v>
      </c>
      <c r="P319" t="s" s="1">
        <v>3499</v>
      </c>
    </row>
    <row r="320" spans="1:16">
      <c r="A320" t="n" s="4">
        <v>315</v>
      </c>
      <c r="B320" s="2">
        <f>HYPERLINK("https://my.zakupki.prom.ua/remote/dispatcher/state_purchase_view/19792710", "UA-2020-10-02-007537-a")</f>
        <v/>
      </c>
      <c r="C320" t="s" s="2">
        <v>3245</v>
      </c>
      <c r="D320" s="2">
        <f>HYPERLINK("https://my.zakupki.prom.ua/remote/dispatcher/state_contracting_view/5730803", "UA-2020-10-02-007537-a-a1")</f>
        <v/>
      </c>
      <c r="E320" t="s" s="1">
        <v>1185</v>
      </c>
      <c r="F320" t="s" s="1">
        <v>2549</v>
      </c>
      <c r="G320" t="s" s="1">
        <v>2549</v>
      </c>
      <c r="H320" t="s" s="1">
        <v>209</v>
      </c>
      <c r="I320" t="s" s="1">
        <v>2361</v>
      </c>
      <c r="J320" t="s" s="1">
        <v>3467</v>
      </c>
      <c r="K320" t="s" s="1">
        <v>766</v>
      </c>
      <c r="L320" t="s" s="1">
        <v>1419</v>
      </c>
      <c r="M320" t="n" s="5">
        <v>10365.0</v>
      </c>
      <c r="N320" t="n" s="7">
        <v>44106.0</v>
      </c>
      <c r="O320" t="n" s="7">
        <v>44196.0</v>
      </c>
      <c r="P320" t="s" s="1">
        <v>3499</v>
      </c>
    </row>
    <row r="321" spans="1:16">
      <c r="A321" t="n" s="4">
        <v>316</v>
      </c>
      <c r="B321" s="2">
        <f>HYPERLINK("https://my.zakupki.prom.ua/remote/dispatcher/state_purchase_view/20025019", "UA-2020-10-12-004259-b")</f>
        <v/>
      </c>
      <c r="C321" t="s" s="2">
        <v>3245</v>
      </c>
      <c r="D321" s="2">
        <f>HYPERLINK("https://my.zakupki.prom.ua/remote/dispatcher/state_contracting_view/5838930", "UA-2020-10-12-004259-b-b1")</f>
        <v/>
      </c>
      <c r="E321" t="s" s="1">
        <v>2156</v>
      </c>
      <c r="F321" t="s" s="1">
        <v>2657</v>
      </c>
      <c r="G321" t="s" s="1">
        <v>2657</v>
      </c>
      <c r="H321" t="s" s="1">
        <v>441</v>
      </c>
      <c r="I321" t="s" s="1">
        <v>2361</v>
      </c>
      <c r="J321" t="s" s="1">
        <v>3300</v>
      </c>
      <c r="K321" t="s" s="1">
        <v>593</v>
      </c>
      <c r="L321" t="s" s="1">
        <v>1510</v>
      </c>
      <c r="M321" t="n" s="5">
        <v>639.6</v>
      </c>
      <c r="N321" t="n" s="7">
        <v>44116.0</v>
      </c>
      <c r="O321" t="n" s="7">
        <v>44196.0</v>
      </c>
      <c r="P321" t="s" s="1">
        <v>3499</v>
      </c>
    </row>
    <row r="322" spans="1:16">
      <c r="A322" t="n" s="4">
        <v>317</v>
      </c>
      <c r="B322" s="2">
        <f>HYPERLINK("https://my.zakupki.prom.ua/remote/dispatcher/state_purchase_view/19865754", "UA-2020-10-06-006994-a")</f>
        <v/>
      </c>
      <c r="C322" t="s" s="2">
        <v>3245</v>
      </c>
      <c r="D322" s="2">
        <f>HYPERLINK("https://my.zakupki.prom.ua/remote/dispatcher/state_contracting_view/5765175", "UA-2020-10-06-006994-a-a1")</f>
        <v/>
      </c>
      <c r="E322" t="s" s="1">
        <v>2261</v>
      </c>
      <c r="F322" t="s" s="1">
        <v>2809</v>
      </c>
      <c r="G322" t="s" s="1">
        <v>3561</v>
      </c>
      <c r="H322" t="s" s="1">
        <v>690</v>
      </c>
      <c r="I322" t="s" s="1">
        <v>2361</v>
      </c>
      <c r="J322" t="s" s="1">
        <v>3403</v>
      </c>
      <c r="K322" t="s" s="1">
        <v>771</v>
      </c>
      <c r="L322" t="s" s="1">
        <v>1438</v>
      </c>
      <c r="M322" t="n" s="5">
        <v>8850.0</v>
      </c>
      <c r="N322" t="n" s="7">
        <v>44110.0</v>
      </c>
      <c r="O322" t="n" s="7">
        <v>44196.0</v>
      </c>
      <c r="P322" t="s" s="1">
        <v>3499</v>
      </c>
    </row>
    <row r="323" spans="1:16">
      <c r="A323" t="n" s="4">
        <v>318</v>
      </c>
      <c r="B323" s="2">
        <f>HYPERLINK("https://my.zakupki.prom.ua/remote/dispatcher/state_purchase_view/19692908", "UA-2020-09-29-006023-a")</f>
        <v/>
      </c>
      <c r="C323" t="s" s="2">
        <v>3245</v>
      </c>
      <c r="D323" s="2">
        <f>HYPERLINK("https://my.zakupki.prom.ua/remote/dispatcher/state_contracting_view/5684909", "UA-2020-09-29-006023-a-a1")</f>
        <v/>
      </c>
      <c r="E323" t="s" s="1">
        <v>2048</v>
      </c>
      <c r="F323" t="s" s="1">
        <v>2568</v>
      </c>
      <c r="G323" t="s" s="1">
        <v>2568</v>
      </c>
      <c r="H323" t="s" s="1">
        <v>216</v>
      </c>
      <c r="I323" t="s" s="1">
        <v>2361</v>
      </c>
      <c r="J323" t="s" s="1">
        <v>3467</v>
      </c>
      <c r="K323" t="s" s="1">
        <v>766</v>
      </c>
      <c r="L323" t="s" s="1">
        <v>1399</v>
      </c>
      <c r="M323" t="n" s="5">
        <v>960.0</v>
      </c>
      <c r="N323" t="n" s="7">
        <v>44102.0</v>
      </c>
      <c r="O323" t="n" s="7">
        <v>44196.0</v>
      </c>
      <c r="P323" t="s" s="1">
        <v>3499</v>
      </c>
    </row>
    <row r="324" spans="1:16">
      <c r="A324" t="n" s="4">
        <v>319</v>
      </c>
      <c r="B324" s="2">
        <f>HYPERLINK("https://my.zakupki.prom.ua/remote/dispatcher/state_purchase_view/20117207", "UA-2020-10-15-005351-c")</f>
        <v/>
      </c>
      <c r="C324" t="s" s="2">
        <v>3245</v>
      </c>
      <c r="D324" s="2">
        <f>HYPERLINK("https://my.zakupki.prom.ua/remote/dispatcher/state_contracting_view/5883802", "UA-2020-10-15-005351-c-c1")</f>
        <v/>
      </c>
      <c r="E324" t="s" s="1">
        <v>2160</v>
      </c>
      <c r="F324" t="s" s="1">
        <v>2879</v>
      </c>
      <c r="G324" t="s" s="1">
        <v>3497</v>
      </c>
      <c r="H324" t="s" s="1">
        <v>718</v>
      </c>
      <c r="I324" t="s" s="1">
        <v>2361</v>
      </c>
      <c r="J324" t="s" s="1">
        <v>3392</v>
      </c>
      <c r="K324" t="s" s="1">
        <v>428</v>
      </c>
      <c r="L324" t="s" s="1">
        <v>1533</v>
      </c>
      <c r="M324" t="n" s="5">
        <v>132556.6</v>
      </c>
      <c r="N324" t="n" s="7">
        <v>44119.0</v>
      </c>
      <c r="O324" t="n" s="7">
        <v>44196.0</v>
      </c>
      <c r="P324" t="s" s="1">
        <v>3499</v>
      </c>
    </row>
    <row r="325" spans="1:16">
      <c r="A325" t="n" s="4">
        <v>320</v>
      </c>
      <c r="B325" s="2">
        <f>HYPERLINK("https://my.zakupki.prom.ua/remote/dispatcher/state_purchase_view/20017732", "UA-2020-10-12-002229-b")</f>
        <v/>
      </c>
      <c r="C325" t="s" s="2">
        <v>3245</v>
      </c>
      <c r="D325" s="2">
        <f>HYPERLINK("https://my.zakupki.prom.ua/remote/dispatcher/state_contracting_view/5835691", "UA-2020-10-12-002229-b-b1")</f>
        <v/>
      </c>
      <c r="E325" t="s" s="1">
        <v>982</v>
      </c>
      <c r="F325" t="s" s="1">
        <v>2547</v>
      </c>
      <c r="G325" t="s" s="1">
        <v>2547</v>
      </c>
      <c r="H325" t="s" s="1">
        <v>209</v>
      </c>
      <c r="I325" t="s" s="1">
        <v>2361</v>
      </c>
      <c r="J325" t="s" s="1">
        <v>3467</v>
      </c>
      <c r="K325" t="s" s="1">
        <v>766</v>
      </c>
      <c r="L325" t="s" s="1">
        <v>1502</v>
      </c>
      <c r="M325" t="n" s="5">
        <v>2385.0</v>
      </c>
      <c r="N325" t="n" s="7">
        <v>44113.0</v>
      </c>
      <c r="O325" t="n" s="7">
        <v>44196.0</v>
      </c>
      <c r="P325" t="s" s="1">
        <v>3499</v>
      </c>
    </row>
    <row r="326" spans="1:16">
      <c r="A326" t="n" s="4">
        <v>321</v>
      </c>
      <c r="B326" s="2">
        <f>HYPERLINK("https://my.zakupki.prom.ua/remote/dispatcher/state_purchase_view/20110589", "UA-2020-10-15-003374-c")</f>
        <v/>
      </c>
      <c r="C326" t="s" s="2">
        <v>3245</v>
      </c>
      <c r="D326" s="2">
        <f>HYPERLINK("https://my.zakupki.prom.ua/remote/dispatcher/state_contracting_view/5880180", "UA-2020-10-15-003374-c-c1")</f>
        <v/>
      </c>
      <c r="E326" t="s" s="1">
        <v>1263</v>
      </c>
      <c r="F326" t="s" s="1">
        <v>2553</v>
      </c>
      <c r="G326" t="s" s="1">
        <v>2553</v>
      </c>
      <c r="H326" t="s" s="1">
        <v>213</v>
      </c>
      <c r="I326" t="s" s="1">
        <v>2361</v>
      </c>
      <c r="J326" t="s" s="1">
        <v>3467</v>
      </c>
      <c r="K326" t="s" s="1">
        <v>766</v>
      </c>
      <c r="L326" t="s" s="1">
        <v>1526</v>
      </c>
      <c r="M326" t="n" s="5">
        <v>265.0</v>
      </c>
      <c r="N326" t="n" s="7">
        <v>44116.0</v>
      </c>
      <c r="O326" t="n" s="7">
        <v>44196.0</v>
      </c>
      <c r="P326" t="s" s="1">
        <v>3499</v>
      </c>
    </row>
    <row r="327" spans="1:16">
      <c r="A327" t="n" s="4">
        <v>322</v>
      </c>
      <c r="B327" s="2">
        <f>HYPERLINK("https://my.zakupki.prom.ua/remote/dispatcher/state_purchase_view/20590779", "UA-2020-10-29-004898-c")</f>
        <v/>
      </c>
      <c r="C327" t="s" s="2">
        <v>3245</v>
      </c>
      <c r="D327" s="2">
        <f>HYPERLINK("https://my.zakupki.prom.ua/remote/dispatcher/state_contracting_view/6114420", "UA-2020-10-29-004898-c-c1")</f>
        <v/>
      </c>
      <c r="E327" t="s" s="1">
        <v>2025</v>
      </c>
      <c r="F327" t="s" s="1">
        <v>3055</v>
      </c>
      <c r="G327" t="s" s="1">
        <v>3055</v>
      </c>
      <c r="H327" t="s" s="1">
        <v>1013</v>
      </c>
      <c r="I327" t="s" s="1">
        <v>2361</v>
      </c>
      <c r="J327" t="s" s="1">
        <v>3251</v>
      </c>
      <c r="K327" t="s" s="1">
        <v>486</v>
      </c>
      <c r="L327" t="s" s="1">
        <v>3264</v>
      </c>
      <c r="M327" t="n" s="5">
        <v>212.75</v>
      </c>
      <c r="N327" t="n" s="7">
        <v>44133.0</v>
      </c>
      <c r="O327" t="n" s="7">
        <v>44196.0</v>
      </c>
      <c r="P327" t="s" s="1">
        <v>3499</v>
      </c>
    </row>
    <row r="328" spans="1:16">
      <c r="A328" t="n" s="4">
        <v>323</v>
      </c>
      <c r="B328" s="2">
        <f>HYPERLINK("https://my.zakupki.prom.ua/remote/dispatcher/state_purchase_view/20598736", "UA-2020-10-29-006994-c")</f>
        <v/>
      </c>
      <c r="C328" t="s" s="2">
        <v>3245</v>
      </c>
      <c r="D328" s="2">
        <f>HYPERLINK("https://my.zakupki.prom.ua/remote/dispatcher/state_contracting_view/6117840", "UA-2020-10-29-006994-c-c1")</f>
        <v/>
      </c>
      <c r="E328" t="s" s="1">
        <v>2030</v>
      </c>
      <c r="F328" t="s" s="1">
        <v>2674</v>
      </c>
      <c r="G328" t="s" s="1">
        <v>2674</v>
      </c>
      <c r="H328" t="s" s="1">
        <v>448</v>
      </c>
      <c r="I328" t="s" s="1">
        <v>2361</v>
      </c>
      <c r="J328" t="s" s="1">
        <v>3251</v>
      </c>
      <c r="K328" t="s" s="1">
        <v>486</v>
      </c>
      <c r="L328" t="s" s="1">
        <v>3270</v>
      </c>
      <c r="M328" t="n" s="5">
        <v>54.05</v>
      </c>
      <c r="N328" t="n" s="7">
        <v>44133.0</v>
      </c>
      <c r="O328" t="n" s="7">
        <v>44196.0</v>
      </c>
      <c r="P328" t="s" s="1">
        <v>3499</v>
      </c>
    </row>
    <row r="329" spans="1:16">
      <c r="A329" t="n" s="4">
        <v>324</v>
      </c>
      <c r="B329" s="2">
        <f>HYPERLINK("https://my.zakupki.prom.ua/remote/dispatcher/state_purchase_view/20600134", "UA-2020-10-29-007369-c")</f>
        <v/>
      </c>
      <c r="C329" t="s" s="2">
        <v>3245</v>
      </c>
      <c r="D329" s="2">
        <f>HYPERLINK("https://my.zakupki.prom.ua/remote/dispatcher/state_contracting_view/6119168", "UA-2020-10-29-007369-c-c1")</f>
        <v/>
      </c>
      <c r="E329" t="s" s="1">
        <v>384</v>
      </c>
      <c r="F329" t="s" s="1">
        <v>2504</v>
      </c>
      <c r="G329" t="s" s="1">
        <v>2504</v>
      </c>
      <c r="H329" t="s" s="1">
        <v>38</v>
      </c>
      <c r="I329" t="s" s="1">
        <v>2361</v>
      </c>
      <c r="J329" t="s" s="1">
        <v>3467</v>
      </c>
      <c r="K329" t="s" s="1">
        <v>766</v>
      </c>
      <c r="L329" t="s" s="1">
        <v>1585</v>
      </c>
      <c r="M329" t="n" s="5">
        <v>1872.0</v>
      </c>
      <c r="N329" t="n" s="7">
        <v>44133.0</v>
      </c>
      <c r="O329" t="n" s="7">
        <v>44196.0</v>
      </c>
      <c r="P329" t="s" s="1">
        <v>3499</v>
      </c>
    </row>
    <row r="330" spans="1:16">
      <c r="A330" t="n" s="4">
        <v>325</v>
      </c>
      <c r="B330" s="2">
        <f>HYPERLINK("https://my.zakupki.prom.ua/remote/dispatcher/state_purchase_view/21150829", "UA-2020-11-17-008265-c")</f>
        <v/>
      </c>
      <c r="C330" t="s" s="2">
        <v>3245</v>
      </c>
      <c r="D330" s="2">
        <f>HYPERLINK("https://my.zakupki.prom.ua/remote/dispatcher/state_contracting_view/6378597", "UA-2020-11-17-008265-c-c1")</f>
        <v/>
      </c>
      <c r="E330" t="s" s="1">
        <v>1130</v>
      </c>
      <c r="F330" t="s" s="1">
        <v>3040</v>
      </c>
      <c r="G330" t="s" s="1">
        <v>3040</v>
      </c>
      <c r="H330" t="s" s="1">
        <v>874</v>
      </c>
      <c r="I330" t="s" s="1">
        <v>2361</v>
      </c>
      <c r="J330" t="s" s="1">
        <v>3374</v>
      </c>
      <c r="K330" t="s" s="1">
        <v>184</v>
      </c>
      <c r="L330" t="s" s="1">
        <v>1712</v>
      </c>
      <c r="M330" t="n" s="5">
        <v>4577.98</v>
      </c>
      <c r="N330" t="n" s="7">
        <v>44152.0</v>
      </c>
      <c r="O330" t="n" s="7">
        <v>44196.0</v>
      </c>
      <c r="P330" t="s" s="1">
        <v>3499</v>
      </c>
    </row>
    <row r="331" spans="1:16">
      <c r="A331" t="n" s="4">
        <v>326</v>
      </c>
      <c r="B331" s="2">
        <f>HYPERLINK("https://my.zakupki.prom.ua/remote/dispatcher/state_purchase_view/21172891", "UA-2020-11-18-001403-c")</f>
        <v/>
      </c>
      <c r="C331" t="s" s="2">
        <v>3245</v>
      </c>
      <c r="D331" s="2">
        <f>HYPERLINK("https://my.zakupki.prom.ua/remote/dispatcher/state_contracting_view/6388077", "UA-2020-11-18-001403-c-c1")</f>
        <v/>
      </c>
      <c r="E331" t="s" s="1">
        <v>1816</v>
      </c>
      <c r="F331" t="s" s="1">
        <v>2624</v>
      </c>
      <c r="G331" t="s" s="1">
        <v>2624</v>
      </c>
      <c r="H331" t="s" s="1">
        <v>225</v>
      </c>
      <c r="I331" t="s" s="1">
        <v>2361</v>
      </c>
      <c r="J331" t="s" s="1">
        <v>3467</v>
      </c>
      <c r="K331" t="s" s="1">
        <v>766</v>
      </c>
      <c r="L331" t="s" s="1">
        <v>1754</v>
      </c>
      <c r="M331" t="n" s="5">
        <v>2579.0</v>
      </c>
      <c r="N331" t="n" s="7">
        <v>44151.0</v>
      </c>
      <c r="O331" t="n" s="7">
        <v>44196.0</v>
      </c>
      <c r="P331" t="s" s="1">
        <v>3499</v>
      </c>
    </row>
    <row r="332" spans="1:16">
      <c r="A332" t="n" s="4">
        <v>327</v>
      </c>
      <c r="B332" s="2">
        <f>HYPERLINK("https://my.zakupki.prom.ua/remote/dispatcher/state_purchase_view/18412543", "UA-2020-08-10-000471-a")</f>
        <v/>
      </c>
      <c r="C332" t="s" s="2">
        <v>3245</v>
      </c>
      <c r="D332" s="2">
        <f>HYPERLINK("https://my.zakupki.prom.ua/remote/dispatcher/state_contracting_view/5077449", "UA-2020-08-10-000471-a-a1")</f>
        <v/>
      </c>
      <c r="E332" t="s" s="1">
        <v>2192</v>
      </c>
      <c r="F332" t="s" s="1">
        <v>3017</v>
      </c>
      <c r="G332" t="s" s="1">
        <v>3017</v>
      </c>
      <c r="H332" t="s" s="1">
        <v>857</v>
      </c>
      <c r="I332" t="s" s="1">
        <v>2361</v>
      </c>
      <c r="J332" t="s" s="1">
        <v>3253</v>
      </c>
      <c r="K332" t="s" s="1">
        <v>403</v>
      </c>
      <c r="L332" t="s" s="1">
        <v>1000</v>
      </c>
      <c r="M332" t="n" s="5">
        <v>30712.0</v>
      </c>
      <c r="N332" t="n" s="7">
        <v>44050.0</v>
      </c>
      <c r="O332" t="n" s="7">
        <v>44196.0</v>
      </c>
      <c r="P332" t="s" s="1">
        <v>3499</v>
      </c>
    </row>
    <row r="333" spans="1:16">
      <c r="A333" t="n" s="4">
        <v>328</v>
      </c>
      <c r="B333" s="2">
        <f>HYPERLINK("https://my.zakupki.prom.ua/remote/dispatcher/state_purchase_view/18645754", "UA-2020-08-19-001199-a")</f>
        <v/>
      </c>
      <c r="C333" t="s" s="2">
        <v>3245</v>
      </c>
      <c r="D333" s="2">
        <f>HYPERLINK("https://my.zakupki.prom.ua/remote/dispatcher/state_contracting_view/5187248", "UA-2020-08-19-001199-a-a1")</f>
        <v/>
      </c>
      <c r="E333" t="s" s="1">
        <v>2235</v>
      </c>
      <c r="F333" t="s" s="1">
        <v>2556</v>
      </c>
      <c r="G333" t="s" s="1">
        <v>2556</v>
      </c>
      <c r="H333" t="s" s="1">
        <v>213</v>
      </c>
      <c r="I333" t="s" s="1">
        <v>2361</v>
      </c>
      <c r="J333" t="s" s="1">
        <v>3467</v>
      </c>
      <c r="K333" t="s" s="1">
        <v>766</v>
      </c>
      <c r="L333" t="s" s="1">
        <v>1139</v>
      </c>
      <c r="M333" t="n" s="5">
        <v>530.0</v>
      </c>
      <c r="N333" t="n" s="7">
        <v>44060.0</v>
      </c>
      <c r="O333" t="n" s="7">
        <v>44196.0</v>
      </c>
      <c r="P333" t="s" s="1">
        <v>3499</v>
      </c>
    </row>
    <row r="334" spans="1:16">
      <c r="A334" t="n" s="4">
        <v>329</v>
      </c>
      <c r="B334" s="2">
        <f>HYPERLINK("https://my.zakupki.prom.ua/remote/dispatcher/state_purchase_view/18758200", "UA-2020-08-25-003602-a")</f>
        <v/>
      </c>
      <c r="C334" t="s" s="2">
        <v>3245</v>
      </c>
      <c r="D334" s="2">
        <f>HYPERLINK("https://my.zakupki.prom.ua/remote/dispatcher/state_contracting_view/5298421", "UA-2020-08-25-003602-a-a1")</f>
        <v/>
      </c>
      <c r="E334" t="s" s="1">
        <v>1220</v>
      </c>
      <c r="F334" t="s" s="1">
        <v>2942</v>
      </c>
      <c r="G334" t="s" s="1">
        <v>2942</v>
      </c>
      <c r="H334" t="s" s="1">
        <v>725</v>
      </c>
      <c r="I334" t="s" s="1">
        <v>3313</v>
      </c>
      <c r="J334" t="s" s="1">
        <v>3402</v>
      </c>
      <c r="K334" t="s" s="1">
        <v>375</v>
      </c>
      <c r="L334" t="s" s="1">
        <v>464</v>
      </c>
      <c r="M334" t="n" s="5">
        <v>27820.0</v>
      </c>
      <c r="N334" t="n" s="7">
        <v>44074.0</v>
      </c>
      <c r="O334" t="n" s="7">
        <v>44196.0</v>
      </c>
      <c r="P334" t="s" s="1">
        <v>3499</v>
      </c>
    </row>
    <row r="335" spans="1:16">
      <c r="A335" t="n" s="4">
        <v>330</v>
      </c>
      <c r="B335" s="2">
        <f>HYPERLINK("https://my.zakupki.prom.ua/remote/dispatcher/state_purchase_view/18473873", "UA-2020-08-12-000182-a")</f>
        <v/>
      </c>
      <c r="C335" t="s" s="2">
        <v>3245</v>
      </c>
      <c r="D335" s="2">
        <f>HYPERLINK("https://my.zakupki.prom.ua/remote/dispatcher/state_contracting_view/5106435", "UA-2020-08-12-000182-a-a1")</f>
        <v/>
      </c>
      <c r="E335" t="s" s="1">
        <v>49</v>
      </c>
      <c r="F335" t="s" s="1">
        <v>2771</v>
      </c>
      <c r="G335" t="s" s="1">
        <v>2771</v>
      </c>
      <c r="H335" t="s" s="1">
        <v>690</v>
      </c>
      <c r="I335" t="s" s="1">
        <v>2361</v>
      </c>
      <c r="J335" t="s" s="1">
        <v>3392</v>
      </c>
      <c r="K335" t="s" s="1">
        <v>428</v>
      </c>
      <c r="L335" t="s" s="1">
        <v>1054</v>
      </c>
      <c r="M335" t="n" s="5">
        <v>4502.0</v>
      </c>
      <c r="N335" t="n" s="7">
        <v>44055.0</v>
      </c>
      <c r="O335" t="n" s="7">
        <v>44196.0</v>
      </c>
      <c r="P335" t="s" s="1">
        <v>3499</v>
      </c>
    </row>
    <row r="336" spans="1:16">
      <c r="A336" t="n" s="4">
        <v>331</v>
      </c>
      <c r="B336" s="2">
        <f>HYPERLINK("https://my.zakupki.prom.ua/remote/dispatcher/state_purchase_view/18483469", "UA-2020-08-12-002748-a")</f>
        <v/>
      </c>
      <c r="C336" t="s" s="2">
        <v>3245</v>
      </c>
      <c r="D336" s="2">
        <f>HYPERLINK("https://my.zakupki.prom.ua/remote/dispatcher/state_contracting_view/5169261", "UA-2020-08-12-002748-a-a1")</f>
        <v/>
      </c>
      <c r="E336" t="s" s="1">
        <v>952</v>
      </c>
      <c r="F336" t="s" s="1">
        <v>2943</v>
      </c>
      <c r="G336" t="s" s="1">
        <v>2943</v>
      </c>
      <c r="H336" t="s" s="1">
        <v>725</v>
      </c>
      <c r="I336" t="s" s="1">
        <v>3313</v>
      </c>
      <c r="J336" t="s" s="1">
        <v>3402</v>
      </c>
      <c r="K336" t="s" s="1">
        <v>375</v>
      </c>
      <c r="L336" t="s" s="1">
        <v>431</v>
      </c>
      <c r="M336" t="n" s="5">
        <v>19388.4</v>
      </c>
      <c r="N336" t="n" s="7">
        <v>44061.0</v>
      </c>
      <c r="O336" t="n" s="7">
        <v>44196.0</v>
      </c>
      <c r="P336" t="s" s="1">
        <v>3499</v>
      </c>
    </row>
    <row r="337" spans="1:16">
      <c r="A337" t="n" s="4">
        <v>332</v>
      </c>
      <c r="B337" s="2">
        <f>HYPERLINK("https://my.zakupki.prom.ua/remote/dispatcher/state_purchase_view/18990815", "UA-2020-09-03-007455-b")</f>
        <v/>
      </c>
      <c r="C337" t="s" s="2">
        <v>3245</v>
      </c>
      <c r="D337" s="2">
        <f>HYPERLINK("https://my.zakupki.prom.ua/remote/dispatcher/state_contracting_view/5351919", "UA-2020-09-03-007455-b-b1")</f>
        <v/>
      </c>
      <c r="E337" t="s" s="1">
        <v>2086</v>
      </c>
      <c r="F337" t="s" s="1">
        <v>2745</v>
      </c>
      <c r="G337" t="s" s="1">
        <v>2745</v>
      </c>
      <c r="H337" t="s" s="1">
        <v>690</v>
      </c>
      <c r="I337" t="s" s="1">
        <v>2361</v>
      </c>
      <c r="J337" t="s" s="1">
        <v>3302</v>
      </c>
      <c r="K337" t="s" s="1">
        <v>617</v>
      </c>
      <c r="L337" t="s" s="1">
        <v>1225</v>
      </c>
      <c r="M337" t="n" s="5">
        <v>2193.0</v>
      </c>
      <c r="N337" t="n" s="7">
        <v>44075.0</v>
      </c>
      <c r="O337" t="n" s="7">
        <v>44196.0</v>
      </c>
      <c r="P337" t="s" s="1">
        <v>3499</v>
      </c>
    </row>
    <row r="338" spans="1:16">
      <c r="A338" t="n" s="4">
        <v>333</v>
      </c>
      <c r="B338" s="2">
        <f>HYPERLINK("https://my.zakupki.prom.ua/remote/dispatcher/state_purchase_view/18984133", "UA-2020-09-03-005532-b")</f>
        <v/>
      </c>
      <c r="C338" t="s" s="2">
        <v>3245</v>
      </c>
      <c r="D338" s="2">
        <f>HYPERLINK("https://my.zakupki.prom.ua/remote/dispatcher/state_contracting_view/5348387", "UA-2020-09-03-005532-b-b1")</f>
        <v/>
      </c>
      <c r="E338" t="s" s="1">
        <v>839</v>
      </c>
      <c r="F338" t="s" s="1">
        <v>2561</v>
      </c>
      <c r="G338" t="s" s="1">
        <v>2561</v>
      </c>
      <c r="H338" t="s" s="1">
        <v>216</v>
      </c>
      <c r="I338" t="s" s="1">
        <v>2361</v>
      </c>
      <c r="J338" t="s" s="1">
        <v>3467</v>
      </c>
      <c r="K338" t="s" s="1">
        <v>766</v>
      </c>
      <c r="L338" t="s" s="1">
        <v>1215</v>
      </c>
      <c r="M338" t="n" s="5">
        <v>862.5</v>
      </c>
      <c r="N338" t="n" s="7">
        <v>44075.0</v>
      </c>
      <c r="O338" t="n" s="7">
        <v>44196.0</v>
      </c>
      <c r="P338" t="s" s="1">
        <v>3499</v>
      </c>
    </row>
    <row r="339" spans="1:16">
      <c r="A339" t="n" s="4">
        <v>334</v>
      </c>
      <c r="B339" s="2">
        <f>HYPERLINK("https://my.zakupki.prom.ua/remote/dispatcher/state_purchase_view/17537436", "UA-2020-06-26-006559-a")</f>
        <v/>
      </c>
      <c r="C339" t="s" s="2">
        <v>3245</v>
      </c>
      <c r="D339" s="2">
        <f>HYPERLINK("https://my.zakupki.prom.ua/remote/dispatcher/state_contracting_view/4671124", "UA-2020-06-26-006559-a-a1")</f>
        <v/>
      </c>
      <c r="E339" t="s" s="1">
        <v>1086</v>
      </c>
      <c r="F339" t="s" s="1">
        <v>2468</v>
      </c>
      <c r="G339" t="s" s="1">
        <v>2468</v>
      </c>
      <c r="H339" t="s" s="1">
        <v>718</v>
      </c>
      <c r="I339" t="s" s="1">
        <v>2361</v>
      </c>
      <c r="J339" t="s" s="1">
        <v>3402</v>
      </c>
      <c r="K339" t="s" s="1">
        <v>375</v>
      </c>
      <c r="L339" t="s" s="1">
        <v>363</v>
      </c>
      <c r="M339" t="n" s="5">
        <v>37432.62</v>
      </c>
      <c r="N339" t="n" s="7">
        <v>44007.0</v>
      </c>
      <c r="O339" t="n" s="7">
        <v>44196.0</v>
      </c>
      <c r="P339" t="s" s="1">
        <v>3499</v>
      </c>
    </row>
    <row r="340" spans="1:16">
      <c r="A340" t="n" s="4">
        <v>335</v>
      </c>
      <c r="B340" s="2">
        <f>HYPERLINK("https://my.zakupki.prom.ua/remote/dispatcher/state_purchase_view/17564838", "UA-2020-06-30-005997-a")</f>
        <v/>
      </c>
      <c r="C340" t="s" s="2">
        <v>3245</v>
      </c>
      <c r="D340" s="2">
        <f>HYPERLINK("https://my.zakupki.prom.ua/remote/dispatcher/state_contracting_view/4685617", "UA-2020-06-30-005997-a-a1")</f>
        <v/>
      </c>
      <c r="E340" t="s" s="1">
        <v>1870</v>
      </c>
      <c r="F340" t="s" s="1">
        <v>2462</v>
      </c>
      <c r="G340" t="s" s="1">
        <v>2462</v>
      </c>
      <c r="H340" t="s" s="1">
        <v>718</v>
      </c>
      <c r="I340" t="s" s="1">
        <v>2361</v>
      </c>
      <c r="J340" t="s" s="1">
        <v>3392</v>
      </c>
      <c r="K340" t="s" s="1">
        <v>428</v>
      </c>
      <c r="L340" t="s" s="1">
        <v>426</v>
      </c>
      <c r="M340" t="n" s="5">
        <v>14004.03</v>
      </c>
      <c r="N340" t="n" s="7">
        <v>44008.0</v>
      </c>
      <c r="O340" t="n" s="7">
        <v>44196.0</v>
      </c>
      <c r="P340" t="s" s="1">
        <v>3499</v>
      </c>
    </row>
    <row r="341" spans="1:16">
      <c r="A341" t="n" s="4">
        <v>336</v>
      </c>
      <c r="B341" s="2">
        <f>HYPERLINK("https://my.zakupki.prom.ua/remote/dispatcher/state_purchase_view/17563682", "UA-2020-06-30-005633-a")</f>
        <v/>
      </c>
      <c r="C341" t="s" s="2">
        <v>3245</v>
      </c>
      <c r="D341" s="2">
        <f>HYPERLINK("https://my.zakupki.prom.ua/remote/dispatcher/state_contracting_view/4683178", "UA-2020-06-30-005633-a-a1")</f>
        <v/>
      </c>
      <c r="E341" t="s" s="1">
        <v>2036</v>
      </c>
      <c r="F341" t="s" s="1">
        <v>3334</v>
      </c>
      <c r="G341" t="s" s="1">
        <v>3334</v>
      </c>
      <c r="H341" t="s" s="1">
        <v>205</v>
      </c>
      <c r="I341" t="s" s="1">
        <v>2361</v>
      </c>
      <c r="J341" t="s" s="1">
        <v>3448</v>
      </c>
      <c r="K341" t="s" s="1">
        <v>766</v>
      </c>
      <c r="L341" t="s" s="1">
        <v>440</v>
      </c>
      <c r="M341" t="n" s="5">
        <v>13275.73</v>
      </c>
      <c r="N341" t="n" s="7">
        <v>44008.0</v>
      </c>
      <c r="O341" t="n" s="7">
        <v>44196.0</v>
      </c>
      <c r="P341" t="s" s="1">
        <v>3499</v>
      </c>
    </row>
    <row r="342" spans="1:16">
      <c r="A342" t="n" s="4">
        <v>337</v>
      </c>
      <c r="B342" s="2">
        <f>HYPERLINK("https://my.zakupki.prom.ua/remote/dispatcher/state_purchase_view/17593908", "UA-2020-07-01-008953-a")</f>
        <v/>
      </c>
      <c r="C342" t="s" s="2">
        <v>3245</v>
      </c>
      <c r="D342" s="2">
        <f>HYPERLINK("https://my.zakupki.prom.ua/remote/dispatcher/state_contracting_view/4697034", "UA-2020-07-01-008953-a-a1")</f>
        <v/>
      </c>
      <c r="E342" t="s" s="1">
        <v>33</v>
      </c>
      <c r="F342" t="s" s="1">
        <v>2481</v>
      </c>
      <c r="G342" t="s" s="1">
        <v>2481</v>
      </c>
      <c r="H342" t="s" s="1">
        <v>855</v>
      </c>
      <c r="I342" t="s" s="1">
        <v>2361</v>
      </c>
      <c r="J342" t="s" s="1">
        <v>3418</v>
      </c>
      <c r="K342" t="s" s="1">
        <v>949</v>
      </c>
      <c r="L342" t="s" s="1">
        <v>3188</v>
      </c>
      <c r="M342" t="n" s="5">
        <v>14850.0</v>
      </c>
      <c r="N342" t="n" s="7">
        <v>44012.0</v>
      </c>
      <c r="O342" t="n" s="7">
        <v>44196.0</v>
      </c>
      <c r="P342" t="s" s="1">
        <v>3499</v>
      </c>
    </row>
    <row r="343" spans="1:16">
      <c r="A343" t="n" s="4">
        <v>338</v>
      </c>
      <c r="B343" s="2">
        <f>HYPERLINK("https://my.zakupki.prom.ua/remote/dispatcher/state_purchase_view/19090293", "UA-2020-09-08-004452-b")</f>
        <v/>
      </c>
      <c r="C343" t="s" s="2">
        <v>3245</v>
      </c>
      <c r="D343" s="2">
        <f>HYPERLINK("https://my.zakupki.prom.ua/remote/dispatcher/state_contracting_view/5398956", "UA-2020-09-08-004452-b-b1")</f>
        <v/>
      </c>
      <c r="E343" t="s" s="1">
        <v>2128</v>
      </c>
      <c r="F343" t="s" s="1">
        <v>2939</v>
      </c>
      <c r="G343" t="s" s="1">
        <v>2939</v>
      </c>
      <c r="H343" t="s" s="1">
        <v>725</v>
      </c>
      <c r="I343" t="s" s="1">
        <v>2361</v>
      </c>
      <c r="J343" t="s" s="1">
        <v>3423</v>
      </c>
      <c r="K343" t="s" s="1">
        <v>375</v>
      </c>
      <c r="L343" t="s" s="1">
        <v>483</v>
      </c>
      <c r="M343" t="n" s="5">
        <v>66400.0</v>
      </c>
      <c r="N343" t="n" s="7">
        <v>44081.0</v>
      </c>
      <c r="O343" t="n" s="7">
        <v>44196.0</v>
      </c>
      <c r="P343" t="s" s="1">
        <v>3499</v>
      </c>
    </row>
    <row r="344" spans="1:16">
      <c r="A344" t="n" s="4">
        <v>339</v>
      </c>
      <c r="B344" s="2">
        <f>HYPERLINK("https://my.zakupki.prom.ua/remote/dispatcher/state_purchase_view/19142921", "UA-2020-09-09-009047-b")</f>
        <v/>
      </c>
      <c r="C344" t="s" s="2">
        <v>3245</v>
      </c>
      <c r="D344" s="2">
        <f>HYPERLINK("https://my.zakupki.prom.ua/remote/dispatcher/state_contracting_view/5423424", "UA-2020-09-09-009047-b-b1")</f>
        <v/>
      </c>
      <c r="E344" t="s" s="1">
        <v>1443</v>
      </c>
      <c r="F344" t="s" s="1">
        <v>2977</v>
      </c>
      <c r="G344" t="s" s="1">
        <v>3238</v>
      </c>
      <c r="H344" t="s" s="1">
        <v>830</v>
      </c>
      <c r="I344" t="s" s="1">
        <v>2361</v>
      </c>
      <c r="J344" t="s" s="1">
        <v>2357</v>
      </c>
      <c r="K344" t="s" s="1">
        <v>713</v>
      </c>
      <c r="L344" t="s" s="1">
        <v>1244</v>
      </c>
      <c r="M344" t="n" s="5">
        <v>49970.0</v>
      </c>
      <c r="N344" t="n" s="7">
        <v>44083.0</v>
      </c>
      <c r="O344" t="n" s="7">
        <v>44196.0</v>
      </c>
      <c r="P344" t="s" s="1">
        <v>3499</v>
      </c>
    </row>
    <row r="345" spans="1:16">
      <c r="A345" t="n" s="4">
        <v>340</v>
      </c>
      <c r="B345" s="2">
        <f>HYPERLINK("https://my.zakupki.prom.ua/remote/dispatcher/state_purchase_view/19379026", "UA-2020-09-17-010522-a")</f>
        <v/>
      </c>
      <c r="C345" t="s" s="2">
        <v>3245</v>
      </c>
      <c r="D345" s="2">
        <f>HYPERLINK("https://my.zakupki.prom.ua/remote/dispatcher/state_contracting_view/5536179", "UA-2020-09-17-010522-a-a1")</f>
        <v/>
      </c>
      <c r="E345" t="s" s="1">
        <v>1184</v>
      </c>
      <c r="F345" t="s" s="1">
        <v>3043</v>
      </c>
      <c r="G345" t="s" s="1">
        <v>3043</v>
      </c>
      <c r="H345" t="s" s="1">
        <v>977</v>
      </c>
      <c r="I345" t="s" s="1">
        <v>2361</v>
      </c>
      <c r="J345" t="s" s="1">
        <v>2357</v>
      </c>
      <c r="K345" t="s" s="1">
        <v>713</v>
      </c>
      <c r="L345" t="s" s="1">
        <v>1351</v>
      </c>
      <c r="M345" t="n" s="5">
        <v>30000.0</v>
      </c>
      <c r="N345" t="n" s="7">
        <v>44091.0</v>
      </c>
      <c r="O345" t="n" s="7">
        <v>44196.0</v>
      </c>
      <c r="P345" t="s" s="1">
        <v>3499</v>
      </c>
    </row>
    <row r="346" spans="1:16">
      <c r="A346" t="n" s="4">
        <v>341</v>
      </c>
      <c r="B346" s="2">
        <f>HYPERLINK("https://my.zakupki.prom.ua/remote/dispatcher/state_purchase_view/19056561", "UA-2020-09-07-005111-b")</f>
        <v/>
      </c>
      <c r="C346" t="s" s="2">
        <v>3245</v>
      </c>
      <c r="D346" s="2">
        <f>HYPERLINK("https://my.zakupki.prom.ua/remote/dispatcher/state_contracting_view/5384498", "UA-2020-09-07-005111-b-b1")</f>
        <v/>
      </c>
      <c r="E346" t="s" s="1">
        <v>1457</v>
      </c>
      <c r="F346" t="s" s="1">
        <v>2495</v>
      </c>
      <c r="G346" t="s" s="1">
        <v>2495</v>
      </c>
      <c r="H346" t="s" s="1">
        <v>690</v>
      </c>
      <c r="I346" t="s" s="1">
        <v>2361</v>
      </c>
      <c r="J346" t="s" s="1">
        <v>2375</v>
      </c>
      <c r="K346" t="s" s="1">
        <v>649</v>
      </c>
      <c r="L346" t="s" s="1">
        <v>1337</v>
      </c>
      <c r="M346" t="n" s="5">
        <v>23750.0</v>
      </c>
      <c r="N346" t="n" s="7">
        <v>44081.0</v>
      </c>
      <c r="O346" t="n" s="7">
        <v>44196.0</v>
      </c>
      <c r="P346" t="s" s="1">
        <v>3499</v>
      </c>
    </row>
    <row r="347" spans="1:16">
      <c r="A347" t="n" s="4">
        <v>342</v>
      </c>
      <c r="B347" s="2">
        <f>HYPERLINK("https://my.zakupki.prom.ua/remote/dispatcher/state_purchase_view/20466311", "UA-2020-10-26-004876-a")</f>
        <v/>
      </c>
      <c r="C347" t="s" s="2">
        <v>3245</v>
      </c>
      <c r="D347" s="2">
        <f>HYPERLINK("https://my.zakupki.prom.ua/remote/dispatcher/state_contracting_view/6052684", "UA-2020-10-26-004876-a-a1")</f>
        <v/>
      </c>
      <c r="E347" t="s" s="1">
        <v>332</v>
      </c>
      <c r="F347" t="s" s="1">
        <v>3136</v>
      </c>
      <c r="G347" t="s" s="1">
        <v>3136</v>
      </c>
      <c r="H347" t="s" s="1">
        <v>1511</v>
      </c>
      <c r="I347" t="s" s="1">
        <v>2361</v>
      </c>
      <c r="J347" t="s" s="1">
        <v>3297</v>
      </c>
      <c r="K347" t="s" s="1">
        <v>686</v>
      </c>
      <c r="L347" t="s" s="1">
        <v>1577</v>
      </c>
      <c r="M347" t="n" s="5">
        <v>1380.0</v>
      </c>
      <c r="N347" t="n" s="7">
        <v>44130.0</v>
      </c>
      <c r="O347" t="n" s="7">
        <v>44196.0</v>
      </c>
      <c r="P347" t="s" s="1">
        <v>3499</v>
      </c>
    </row>
    <row r="348" spans="1:16">
      <c r="A348" t="n" s="4">
        <v>343</v>
      </c>
      <c r="B348" s="2">
        <f>HYPERLINK("https://my.zakupki.prom.ua/remote/dispatcher/state_purchase_view/20881040", "UA-2020-11-09-002666-c")</f>
        <v/>
      </c>
      <c r="C348" t="s" s="2">
        <v>3245</v>
      </c>
      <c r="D348" s="2">
        <f>HYPERLINK("https://my.zakupki.prom.ua/remote/dispatcher/state_contracting_view/6251253", "UA-2020-11-09-002666-c-c1")</f>
        <v/>
      </c>
      <c r="E348" t="s" s="1">
        <v>1980</v>
      </c>
      <c r="F348" t="s" s="1">
        <v>2727</v>
      </c>
      <c r="G348" t="s" s="1">
        <v>2727</v>
      </c>
      <c r="H348" t="s" s="1">
        <v>647</v>
      </c>
      <c r="I348" t="s" s="1">
        <v>2361</v>
      </c>
      <c r="J348" t="s" s="1">
        <v>3251</v>
      </c>
      <c r="K348" t="s" s="1">
        <v>486</v>
      </c>
      <c r="L348" t="s" s="1">
        <v>3285</v>
      </c>
      <c r="M348" t="n" s="5">
        <v>120.6</v>
      </c>
      <c r="N348" t="n" s="7">
        <v>44144.0</v>
      </c>
      <c r="O348" t="n" s="7">
        <v>44196.0</v>
      </c>
      <c r="P348" t="s" s="1">
        <v>3499</v>
      </c>
    </row>
    <row r="349" spans="1:16">
      <c r="A349" t="n" s="4">
        <v>344</v>
      </c>
      <c r="B349" s="2">
        <f>HYPERLINK("https://my.zakupki.prom.ua/remote/dispatcher/state_purchase_view/20880209", "UA-2020-11-09-002393-c")</f>
        <v/>
      </c>
      <c r="C349" t="s" s="2">
        <v>3245</v>
      </c>
      <c r="D349" s="2">
        <f>HYPERLINK("https://my.zakupki.prom.ua/remote/dispatcher/state_contracting_view/6251145", "UA-2020-11-09-002393-c-c1")</f>
        <v/>
      </c>
      <c r="E349" t="s" s="1">
        <v>1112</v>
      </c>
      <c r="F349" t="s" s="1">
        <v>3155</v>
      </c>
      <c r="G349" t="s" s="1">
        <v>3155</v>
      </c>
      <c r="H349" t="s" s="1">
        <v>643</v>
      </c>
      <c r="I349" t="s" s="1">
        <v>2361</v>
      </c>
      <c r="J349" t="s" s="1">
        <v>3251</v>
      </c>
      <c r="K349" t="s" s="1">
        <v>486</v>
      </c>
      <c r="L349" t="s" s="1">
        <v>3283</v>
      </c>
      <c r="M349" t="n" s="5">
        <v>633.0</v>
      </c>
      <c r="N349" t="n" s="7">
        <v>44144.0</v>
      </c>
      <c r="O349" t="n" s="7">
        <v>44196.0</v>
      </c>
      <c r="P349" t="s" s="1">
        <v>3499</v>
      </c>
    </row>
    <row r="350" spans="1:16">
      <c r="A350" t="n" s="4">
        <v>345</v>
      </c>
      <c r="B350" s="2">
        <f>HYPERLINK("https://my.zakupki.prom.ua/remote/dispatcher/state_purchase_view/20934002", "UA-2020-11-10-007303-c")</f>
        <v/>
      </c>
      <c r="C350" t="s" s="2">
        <v>3245</v>
      </c>
      <c r="D350" s="2">
        <f>HYPERLINK("https://my.zakupki.prom.ua/remote/dispatcher/state_contracting_view/6277008", "UA-2020-11-10-007303-c-c1")</f>
        <v/>
      </c>
      <c r="E350" t="s" s="1">
        <v>2248</v>
      </c>
      <c r="F350" t="s" s="1">
        <v>2424</v>
      </c>
      <c r="G350" t="s" s="1">
        <v>2424</v>
      </c>
      <c r="H350" t="s" s="1">
        <v>1665</v>
      </c>
      <c r="I350" t="s" s="1">
        <v>2361</v>
      </c>
      <c r="J350" t="s" s="1">
        <v>3376</v>
      </c>
      <c r="K350" t="s" s="1">
        <v>846</v>
      </c>
      <c r="L350" t="s" s="1">
        <v>1673</v>
      </c>
      <c r="M350" t="n" s="5">
        <v>90000.0</v>
      </c>
      <c r="N350" t="n" s="7">
        <v>44145.0</v>
      </c>
      <c r="O350" t="n" s="7">
        <v>44196.0</v>
      </c>
      <c r="P350" t="s" s="1">
        <v>3499</v>
      </c>
    </row>
    <row r="351" spans="1:16">
      <c r="A351" t="n" s="4">
        <v>346</v>
      </c>
      <c r="B351" s="2">
        <f>HYPERLINK("https://my.zakupki.prom.ua/remote/dispatcher/state_purchase_view/21834218", "UA-2020-12-07-003497-c")</f>
        <v/>
      </c>
      <c r="C351" t="s" s="2">
        <v>3245</v>
      </c>
      <c r="D351" s="2">
        <f>HYPERLINK("https://my.zakupki.prom.ua/remote/dispatcher/state_contracting_view/6695775", "UA-2020-12-07-003497-c-c1")</f>
        <v/>
      </c>
      <c r="E351" t="s" s="1">
        <v>1889</v>
      </c>
      <c r="F351" t="s" s="1">
        <v>2725</v>
      </c>
      <c r="G351" t="s" s="1">
        <v>2725</v>
      </c>
      <c r="H351" t="s" s="1">
        <v>641</v>
      </c>
      <c r="I351" t="s" s="1">
        <v>2361</v>
      </c>
      <c r="J351" t="s" s="1">
        <v>3377</v>
      </c>
      <c r="K351" t="s" s="1">
        <v>722</v>
      </c>
      <c r="L351" t="s" s="1">
        <v>854</v>
      </c>
      <c r="M351" t="n" s="5">
        <v>19000.0</v>
      </c>
      <c r="N351" t="n" s="7">
        <v>44172.0</v>
      </c>
      <c r="O351" t="n" s="7">
        <v>44196.0</v>
      </c>
      <c r="P351" t="s" s="1">
        <v>3499</v>
      </c>
    </row>
    <row r="352" spans="1:16">
      <c r="A352" t="n" s="4">
        <v>347</v>
      </c>
      <c r="B352" s="2">
        <f>HYPERLINK("https://my.zakupki.prom.ua/remote/dispatcher/state_purchase_view/21586146", "UA-2020-12-01-000499-b")</f>
        <v/>
      </c>
      <c r="C352" t="s" s="2">
        <v>3245</v>
      </c>
      <c r="D352" s="2">
        <f>HYPERLINK("https://my.zakupki.prom.ua/remote/dispatcher/state_contracting_view/6581059", "UA-2020-12-01-000499-b-b1")</f>
        <v/>
      </c>
      <c r="E352" t="s" s="1">
        <v>752</v>
      </c>
      <c r="F352" t="s" s="1">
        <v>2685</v>
      </c>
      <c r="G352" t="s" s="1">
        <v>3541</v>
      </c>
      <c r="H352" t="s" s="1">
        <v>456</v>
      </c>
      <c r="I352" t="s" s="1">
        <v>2361</v>
      </c>
      <c r="J352" t="s" s="1">
        <v>2292</v>
      </c>
      <c r="K352" t="s" s="1">
        <v>545</v>
      </c>
      <c r="L352" t="s" s="1">
        <v>1812</v>
      </c>
      <c r="M352" t="n" s="5">
        <v>3110.0</v>
      </c>
      <c r="N352" t="n" s="7">
        <v>44166.0</v>
      </c>
      <c r="O352" t="n" s="7">
        <v>44196.0</v>
      </c>
      <c r="P352" t="s" s="1">
        <v>3499</v>
      </c>
    </row>
    <row r="353" spans="1:16">
      <c r="A353" t="n" s="4">
        <v>348</v>
      </c>
      <c r="B353" s="2">
        <f>HYPERLINK("https://my.zakupki.prom.ua/remote/dispatcher/state_purchase_view/22652852", "UA-2020-12-24-011102-c")</f>
        <v/>
      </c>
      <c r="C353" t="s" s="2">
        <v>3245</v>
      </c>
      <c r="D353" s="2">
        <f>HYPERLINK("https://my.zakupki.prom.ua/remote/dispatcher/state_contracting_view/7092857", "UA-2020-12-24-011102-c-c1")</f>
        <v/>
      </c>
      <c r="E353" t="s" s="1">
        <v>1005</v>
      </c>
      <c r="F353" t="s" s="1">
        <v>2655</v>
      </c>
      <c r="G353" t="s" s="1">
        <v>3543</v>
      </c>
      <c r="H353" t="s" s="1">
        <v>441</v>
      </c>
      <c r="I353" t="s" s="1">
        <v>2361</v>
      </c>
      <c r="J353" t="s" s="1">
        <v>3300</v>
      </c>
      <c r="K353" t="s" s="1">
        <v>593</v>
      </c>
      <c r="L353" t="s" s="1">
        <v>123</v>
      </c>
      <c r="M353" t="n" s="5">
        <v>2796.6</v>
      </c>
      <c r="N353" t="n" s="7">
        <v>44189.0</v>
      </c>
      <c r="O353" t="n" s="7">
        <v>44196.0</v>
      </c>
      <c r="P353" t="s" s="1">
        <v>3499</v>
      </c>
    </row>
    <row r="354" spans="1:16">
      <c r="A354" t="n" s="4">
        <v>349</v>
      </c>
      <c r="B354" s="2">
        <f>HYPERLINK("https://my.zakupki.prom.ua/remote/dispatcher/state_purchase_view/22714246", "UA-2020-12-28-006621-c")</f>
        <v/>
      </c>
      <c r="C354" t="s" s="2">
        <v>3245</v>
      </c>
      <c r="D354" s="2">
        <f>HYPERLINK("https://my.zakupki.prom.ua/remote/dispatcher/state_contracting_view/7121780", "UA-2020-12-28-006621-c-c1")</f>
        <v/>
      </c>
      <c r="E354" t="s" s="1">
        <v>2054</v>
      </c>
      <c r="F354" t="s" s="1">
        <v>3147</v>
      </c>
      <c r="G354" t="s" s="1">
        <v>3147</v>
      </c>
      <c r="H354" t="s" s="1">
        <v>1758</v>
      </c>
      <c r="I354" t="s" s="1">
        <v>2361</v>
      </c>
      <c r="J354" t="s" s="1">
        <v>3390</v>
      </c>
      <c r="K354" t="s" s="1">
        <v>816</v>
      </c>
      <c r="L354" t="s" s="1">
        <v>1822</v>
      </c>
      <c r="M354" t="n" s="5">
        <v>11748.0</v>
      </c>
      <c r="N354" t="n" s="7">
        <v>44193.0</v>
      </c>
      <c r="O354" t="n" s="7">
        <v>44196.0</v>
      </c>
      <c r="P354" t="s" s="1">
        <v>3499</v>
      </c>
    </row>
    <row r="355" spans="1:16">
      <c r="A355" t="n" s="4">
        <v>350</v>
      </c>
      <c r="B355" s="2">
        <f>HYPERLINK("https://my.zakupki.prom.ua/remote/dispatcher/state_purchase_view/21859029", "UA-2020-12-08-002133-c")</f>
        <v/>
      </c>
      <c r="C355" t="s" s="2">
        <v>3245</v>
      </c>
      <c r="D355" s="2">
        <f>HYPERLINK("https://my.zakupki.prom.ua/remote/dispatcher/state_contracting_view/6707619", "UA-2020-12-08-002133-c-c1")</f>
        <v/>
      </c>
      <c r="E355" t="s" s="1">
        <v>580</v>
      </c>
      <c r="F355" t="s" s="1">
        <v>2920</v>
      </c>
      <c r="G355" t="s" s="1">
        <v>3555</v>
      </c>
      <c r="H355" t="s" s="1">
        <v>718</v>
      </c>
      <c r="I355" t="s" s="1">
        <v>2361</v>
      </c>
      <c r="J355" t="s" s="1">
        <v>3392</v>
      </c>
      <c r="K355" t="s" s="1">
        <v>428</v>
      </c>
      <c r="L355" t="s" s="1">
        <v>1843</v>
      </c>
      <c r="M355" t="n" s="5">
        <v>326232.81</v>
      </c>
      <c r="N355" t="n" s="7">
        <v>44173.0</v>
      </c>
      <c r="O355" t="n" s="7">
        <v>44196.0</v>
      </c>
      <c r="P355" t="s" s="1">
        <v>3499</v>
      </c>
    </row>
    <row r="356" spans="1:16">
      <c r="A356" t="n" s="4">
        <v>351</v>
      </c>
      <c r="B356" s="2">
        <f>HYPERLINK("https://my.zakupki.prom.ua/remote/dispatcher/state_purchase_view/18271764", "UA-2020-08-03-003390-a")</f>
        <v/>
      </c>
      <c r="C356" t="s" s="2">
        <v>3245</v>
      </c>
      <c r="D356" s="2">
        <f>HYPERLINK("https://my.zakupki.prom.ua/remote/dispatcher/state_contracting_view/5012257", "UA-2020-08-03-003390-a-a1")</f>
        <v/>
      </c>
      <c r="E356" t="s" s="1">
        <v>2230</v>
      </c>
      <c r="F356" t="s" s="1">
        <v>2616</v>
      </c>
      <c r="G356" t="s" s="1">
        <v>2616</v>
      </c>
      <c r="H356" t="s" s="1">
        <v>225</v>
      </c>
      <c r="I356" t="s" s="1">
        <v>2361</v>
      </c>
      <c r="J356" t="s" s="1">
        <v>3467</v>
      </c>
      <c r="K356" t="s" s="1">
        <v>766</v>
      </c>
      <c r="L356" t="s" s="1">
        <v>932</v>
      </c>
      <c r="M356" t="n" s="5">
        <v>3156.5</v>
      </c>
      <c r="N356" t="n" s="7">
        <v>44045.0</v>
      </c>
      <c r="O356" t="n" s="7">
        <v>44196.0</v>
      </c>
      <c r="P356" t="s" s="1">
        <v>3499</v>
      </c>
    </row>
    <row r="357" spans="1:16">
      <c r="A357" t="n" s="4">
        <v>352</v>
      </c>
      <c r="B357" s="2">
        <f>HYPERLINK("https://my.zakupki.prom.ua/remote/dispatcher/state_purchase_view/20712076", "UA-2020-11-03-008474-c")</f>
        <v/>
      </c>
      <c r="C357" t="s" s="2">
        <v>3245</v>
      </c>
      <c r="D357" s="2">
        <f>HYPERLINK("https://my.zakupki.prom.ua/remote/dispatcher/state_contracting_view/6260361", "UA-2020-11-03-008474-c-c1")</f>
        <v/>
      </c>
      <c r="E357" t="s" s="1">
        <v>1226</v>
      </c>
      <c r="F357" t="s" s="1">
        <v>3109</v>
      </c>
      <c r="G357" t="s" s="1">
        <v>3109</v>
      </c>
      <c r="H357" t="s" s="1">
        <v>1311</v>
      </c>
      <c r="I357" t="s" s="1">
        <v>3313</v>
      </c>
      <c r="J357" t="s" s="1">
        <v>2286</v>
      </c>
      <c r="K357" t="s" s="1">
        <v>54</v>
      </c>
      <c r="L357" t="s" s="1">
        <v>260</v>
      </c>
      <c r="M357" t="n" s="5">
        <v>299520.0</v>
      </c>
      <c r="N357" t="n" s="7">
        <v>44144.0</v>
      </c>
      <c r="O357" t="n" s="7">
        <v>44196.0</v>
      </c>
      <c r="P357" t="s" s="1">
        <v>3499</v>
      </c>
    </row>
    <row r="358" spans="1:16">
      <c r="A358" t="n" s="4">
        <v>353</v>
      </c>
      <c r="B358" s="2">
        <f>HYPERLINK("https://my.zakupki.prom.ua/remote/dispatcher/state_purchase_view/15469805", "UA-2020-02-25-001711-c")</f>
        <v/>
      </c>
      <c r="C358" t="s" s="2">
        <v>3245</v>
      </c>
      <c r="D358" s="2">
        <f>HYPERLINK("https://my.zakupki.prom.ua/remote/dispatcher/state_contracting_view/3851031", "UA-2020-02-25-001711-c-c1")</f>
        <v/>
      </c>
      <c r="E358" t="s" s="1">
        <v>1891</v>
      </c>
      <c r="F358" t="s" s="1">
        <v>3466</v>
      </c>
      <c r="G358" t="s" s="1">
        <v>3466</v>
      </c>
      <c r="H358" t="s" s="1">
        <v>691</v>
      </c>
      <c r="I358" t="s" s="1">
        <v>2361</v>
      </c>
      <c r="J358" t="s" s="1">
        <v>3392</v>
      </c>
      <c r="K358" t="s" s="1">
        <v>428</v>
      </c>
      <c r="L358" t="s" s="1">
        <v>819</v>
      </c>
      <c r="M358" t="n" s="5">
        <v>7406.63</v>
      </c>
      <c r="N358" t="n" s="7">
        <v>43886.0</v>
      </c>
      <c r="O358" t="n" s="7">
        <v>44196.0</v>
      </c>
      <c r="P358" t="s" s="1">
        <v>3499</v>
      </c>
    </row>
    <row r="359" spans="1:16">
      <c r="A359" t="n" s="4">
        <v>354</v>
      </c>
      <c r="B359" s="2">
        <f>HYPERLINK("https://my.zakupki.prom.ua/remote/dispatcher/state_purchase_view/15007957", "UA-2020-01-31-003382-a")</f>
        <v/>
      </c>
      <c r="C359" t="s" s="2">
        <v>3245</v>
      </c>
      <c r="D359" s="2">
        <f>HYPERLINK("https://my.zakupki.prom.ua/remote/dispatcher/state_contracting_view/3730461", "UA-2020-01-31-003382-a-a1")</f>
        <v/>
      </c>
      <c r="E359" t="s" s="1">
        <v>2264</v>
      </c>
      <c r="F359" t="s" s="1">
        <v>726</v>
      </c>
      <c r="G359" t="s" s="1">
        <v>2313</v>
      </c>
      <c r="H359" t="s" s="1">
        <v>726</v>
      </c>
      <c r="I359" t="s" s="1">
        <v>2361</v>
      </c>
      <c r="J359" t="s" s="1">
        <v>3442</v>
      </c>
      <c r="K359" t="s" s="1">
        <v>420</v>
      </c>
      <c r="L359" t="s" s="1">
        <v>230</v>
      </c>
      <c r="M359" t="n" s="5">
        <v>305.0</v>
      </c>
      <c r="N359" t="n" s="7">
        <v>43861.0</v>
      </c>
      <c r="O359" t="n" s="7">
        <v>44196.0</v>
      </c>
      <c r="P359" t="s" s="1">
        <v>3499</v>
      </c>
    </row>
    <row r="360" spans="1:16">
      <c r="A360" t="n" s="4">
        <v>355</v>
      </c>
      <c r="B360" s="2">
        <f>HYPERLINK("https://my.zakupki.prom.ua/remote/dispatcher/state_purchase_view/14757039", "UA-2020-01-23-002336-a")</f>
        <v/>
      </c>
      <c r="C360" t="s" s="2">
        <v>3245</v>
      </c>
      <c r="D360" s="2">
        <f>HYPERLINK("https://my.zakupki.prom.ua/remote/dispatcher/state_contracting_view/3673869", "UA-2020-01-23-002336-a-a1")</f>
        <v/>
      </c>
      <c r="E360" t="s" s="1">
        <v>2265</v>
      </c>
      <c r="F360" t="s" s="1">
        <v>1145</v>
      </c>
      <c r="G360" t="s" s="1">
        <v>2362</v>
      </c>
      <c r="H360" t="s" s="1">
        <v>1145</v>
      </c>
      <c r="I360" t="s" s="1">
        <v>2361</v>
      </c>
      <c r="J360" t="s" s="1">
        <v>2359</v>
      </c>
      <c r="K360" t="s" s="1">
        <v>460</v>
      </c>
      <c r="L360" t="s" s="1">
        <v>1477</v>
      </c>
      <c r="M360" t="n" s="5">
        <v>400.0</v>
      </c>
      <c r="N360" t="n" s="7">
        <v>43853.0</v>
      </c>
      <c r="O360" t="n" s="7">
        <v>44196.0</v>
      </c>
      <c r="P360" t="s" s="1">
        <v>3499</v>
      </c>
    </row>
    <row r="361" spans="1:16">
      <c r="A361" t="n" s="4">
        <v>356</v>
      </c>
      <c r="B361" s="2">
        <f>HYPERLINK("https://my.zakupki.prom.ua/remote/dispatcher/state_purchase_view/21741586", "UA-2020-12-04-001182-b")</f>
        <v/>
      </c>
      <c r="C361" t="s" s="2">
        <v>3245</v>
      </c>
      <c r="D361" s="2">
        <f>HYPERLINK("https://my.zakupki.prom.ua/remote/dispatcher/state_contracting_view/6653286", "UA-2020-12-04-001182-b-b1")</f>
        <v/>
      </c>
      <c r="E361" t="s" s="1">
        <v>1922</v>
      </c>
      <c r="F361" t="s" s="1">
        <v>3121</v>
      </c>
      <c r="G361" t="s" s="1">
        <v>3121</v>
      </c>
      <c r="H361" t="s" s="1">
        <v>1496</v>
      </c>
      <c r="I361" t="s" s="1">
        <v>2361</v>
      </c>
      <c r="J361" t="s" s="1">
        <v>3298</v>
      </c>
      <c r="K361" t="s" s="1">
        <v>395</v>
      </c>
      <c r="L361" t="s" s="1">
        <v>1831</v>
      </c>
      <c r="M361" t="n" s="5">
        <v>4189.2</v>
      </c>
      <c r="N361" t="n" s="7">
        <v>44168.0</v>
      </c>
      <c r="O361" t="n" s="7">
        <v>44196.0</v>
      </c>
      <c r="P361" t="s" s="1">
        <v>3499</v>
      </c>
    </row>
    <row r="362" spans="1:16">
      <c r="A362" t="n" s="4">
        <v>357</v>
      </c>
      <c r="B362" s="2">
        <f>HYPERLINK("https://my.zakupki.prom.ua/remote/dispatcher/state_purchase_view/21852379", "UA-2020-12-08-000190-c")</f>
        <v/>
      </c>
      <c r="C362" t="s" s="2">
        <v>3245</v>
      </c>
      <c r="D362" s="2">
        <f>HYPERLINK("https://my.zakupki.prom.ua/remote/dispatcher/state_contracting_view/6704363", "UA-2020-12-08-000190-c-c1")</f>
        <v/>
      </c>
      <c r="E362" t="s" s="1">
        <v>1780</v>
      </c>
      <c r="F362" t="s" s="1">
        <v>2830</v>
      </c>
      <c r="G362" t="s" s="1">
        <v>2831</v>
      </c>
      <c r="H362" t="s" s="1">
        <v>703</v>
      </c>
      <c r="I362" t="s" s="1">
        <v>2361</v>
      </c>
      <c r="J362" t="s" s="1">
        <v>2358</v>
      </c>
      <c r="K362" t="s" s="1">
        <v>376</v>
      </c>
      <c r="L362" t="s" s="1">
        <v>1835</v>
      </c>
      <c r="M362" t="n" s="5">
        <v>115800.0</v>
      </c>
      <c r="N362" t="n" s="7">
        <v>44172.0</v>
      </c>
      <c r="O362" t="n" s="7">
        <v>44196.0</v>
      </c>
      <c r="P362" t="s" s="1">
        <v>3499</v>
      </c>
    </row>
    <row r="363" spans="1:16">
      <c r="A363" t="n" s="4">
        <v>358</v>
      </c>
      <c r="B363" s="2">
        <f>HYPERLINK("https://my.zakupki.prom.ua/remote/dispatcher/state_purchase_view/21109781", "UA-2020-11-16-010793-c")</f>
        <v/>
      </c>
      <c r="C363" t="s" s="2">
        <v>3245</v>
      </c>
      <c r="D363" s="2">
        <f>HYPERLINK("https://my.zakupki.prom.ua/remote/dispatcher/state_contracting_view/6358985", "UA-2020-11-16-010793-c-c1")</f>
        <v/>
      </c>
      <c r="E363" t="s" s="1">
        <v>2158</v>
      </c>
      <c r="F363" t="s" s="1">
        <v>2547</v>
      </c>
      <c r="G363" t="s" s="1">
        <v>2547</v>
      </c>
      <c r="H363" t="s" s="1">
        <v>209</v>
      </c>
      <c r="I363" t="s" s="1">
        <v>2361</v>
      </c>
      <c r="J363" t="s" s="1">
        <v>3467</v>
      </c>
      <c r="K363" t="s" s="1">
        <v>766</v>
      </c>
      <c r="L363" t="s" s="1">
        <v>1705</v>
      </c>
      <c r="M363" t="n" s="5">
        <v>1590.0</v>
      </c>
      <c r="N363" t="n" s="7">
        <v>44148.0</v>
      </c>
      <c r="O363" t="n" s="7">
        <v>44196.0</v>
      </c>
      <c r="P363" t="s" s="1">
        <v>3499</v>
      </c>
    </row>
    <row r="364" spans="1:16">
      <c r="A364" t="n" s="4">
        <v>359</v>
      </c>
      <c r="B364" s="2">
        <f>HYPERLINK("https://my.zakupki.prom.ua/remote/dispatcher/state_purchase_view/21112778", "UA-2020-11-16-011909-c")</f>
        <v/>
      </c>
      <c r="C364" t="s" s="2">
        <v>3245</v>
      </c>
      <c r="D364" s="2">
        <f>HYPERLINK("https://my.zakupki.prom.ua/remote/dispatcher/state_contracting_view/6359948", "UA-2020-11-16-011909-c-c1")</f>
        <v/>
      </c>
      <c r="E364" t="s" s="1">
        <v>1341</v>
      </c>
      <c r="F364" t="s" s="1">
        <v>2506</v>
      </c>
      <c r="G364" t="s" s="1">
        <v>2506</v>
      </c>
      <c r="H364" t="s" s="1">
        <v>39</v>
      </c>
      <c r="I364" t="s" s="1">
        <v>2361</v>
      </c>
      <c r="J364" t="s" s="1">
        <v>3467</v>
      </c>
      <c r="K364" t="s" s="1">
        <v>766</v>
      </c>
      <c r="L364" t="s" s="1">
        <v>1706</v>
      </c>
      <c r="M364" t="n" s="5">
        <v>925.5</v>
      </c>
      <c r="N364" t="n" s="7">
        <v>44148.0</v>
      </c>
      <c r="O364" t="n" s="7">
        <v>44196.0</v>
      </c>
      <c r="P364" t="s" s="1">
        <v>3499</v>
      </c>
    </row>
    <row r="365" spans="1:16">
      <c r="A365" t="n" s="4">
        <v>360</v>
      </c>
      <c r="B365" s="2">
        <f>HYPERLINK("https://my.zakupki.prom.ua/remote/dispatcher/state_purchase_view/21182661", "UA-2020-11-18-004164-c")</f>
        <v/>
      </c>
      <c r="C365" t="s" s="2">
        <v>3245</v>
      </c>
      <c r="D365" s="2">
        <f>HYPERLINK("https://my.zakupki.prom.ua/remote/dispatcher/state_contracting_view/6393328", "UA-2020-11-18-004164-c-c1")</f>
        <v/>
      </c>
      <c r="E365" t="s" s="1">
        <v>1742</v>
      </c>
      <c r="F365" t="s" s="1">
        <v>3011</v>
      </c>
      <c r="G365" t="s" s="1">
        <v>3011</v>
      </c>
      <c r="H365" t="s" s="1">
        <v>855</v>
      </c>
      <c r="I365" t="s" s="1">
        <v>2361</v>
      </c>
      <c r="J365" t="s" s="1">
        <v>3418</v>
      </c>
      <c r="K365" t="s" s="1">
        <v>949</v>
      </c>
      <c r="L365" t="s" s="1">
        <v>3199</v>
      </c>
      <c r="M365" t="n" s="5">
        <v>3000.0</v>
      </c>
      <c r="N365" t="n" s="7">
        <v>44151.0</v>
      </c>
      <c r="O365" t="n" s="7">
        <v>44196.0</v>
      </c>
      <c r="P365" t="s" s="1">
        <v>3499</v>
      </c>
    </row>
    <row r="366" spans="1:16">
      <c r="A366" t="n" s="4">
        <v>361</v>
      </c>
      <c r="B366" s="2">
        <f>HYPERLINK("https://my.zakupki.prom.ua/remote/dispatcher/state_purchase_view/21106293", "UA-2020-11-16-009608-c")</f>
        <v/>
      </c>
      <c r="C366" t="s" s="2">
        <v>3245</v>
      </c>
      <c r="D366" s="2">
        <f>HYPERLINK("https://my.zakupki.prom.ua/remote/dispatcher/state_contracting_view/6357626", "UA-2020-11-16-009608-c-c1")</f>
        <v/>
      </c>
      <c r="E366" t="s" s="1">
        <v>229</v>
      </c>
      <c r="F366" t="s" s="1">
        <v>2780</v>
      </c>
      <c r="G366" t="s" s="1">
        <v>2779</v>
      </c>
      <c r="H366" t="s" s="1">
        <v>690</v>
      </c>
      <c r="I366" t="s" s="1">
        <v>2361</v>
      </c>
      <c r="J366" t="s" s="1">
        <v>3377</v>
      </c>
      <c r="K366" t="s" s="1">
        <v>722</v>
      </c>
      <c r="L366" t="s" s="1">
        <v>515</v>
      </c>
      <c r="M366" t="n" s="5">
        <v>42750.0</v>
      </c>
      <c r="N366" t="n" s="7">
        <v>44146.0</v>
      </c>
      <c r="O366" t="n" s="7">
        <v>44196.0</v>
      </c>
      <c r="P366" t="s" s="1">
        <v>3499</v>
      </c>
    </row>
    <row r="367" spans="1:16">
      <c r="A367" t="n" s="4">
        <v>362</v>
      </c>
      <c r="B367" s="2">
        <f>HYPERLINK("https://my.zakupki.prom.ua/remote/dispatcher/state_purchase_view/22430942", "UA-2020-12-21-003439-c")</f>
        <v/>
      </c>
      <c r="C367" t="s" s="2">
        <v>3245</v>
      </c>
      <c r="D367" s="2">
        <f>HYPERLINK("https://my.zakupki.prom.ua/remote/dispatcher/state_contracting_view/6983602", "UA-2020-12-21-003439-c-c1")</f>
        <v/>
      </c>
      <c r="E367" t="s" s="1">
        <v>1389</v>
      </c>
      <c r="F367" t="s" s="1">
        <v>3145</v>
      </c>
      <c r="G367" t="s" s="1">
        <v>3145</v>
      </c>
      <c r="H367" t="s" s="1">
        <v>1756</v>
      </c>
      <c r="I367" t="s" s="1">
        <v>2361</v>
      </c>
      <c r="J367" t="s" s="1">
        <v>2372</v>
      </c>
      <c r="K367" t="s" s="1">
        <v>40</v>
      </c>
      <c r="L367" t="s" s="1">
        <v>608</v>
      </c>
      <c r="M367" t="n" s="5">
        <v>11606.87</v>
      </c>
      <c r="N367" t="n" s="7">
        <v>44183.0</v>
      </c>
      <c r="O367" t="n" s="7">
        <v>44196.0</v>
      </c>
      <c r="P367" t="s" s="1">
        <v>3474</v>
      </c>
    </row>
    <row r="368" spans="1:16">
      <c r="A368" t="n" s="4">
        <v>363</v>
      </c>
      <c r="B368" s="2">
        <f>HYPERLINK("https://my.zakupki.prom.ua/remote/dispatcher/state_purchase_view/22637431", "UA-2020-12-24-006433-c")</f>
        <v/>
      </c>
      <c r="C368" t="s" s="2">
        <v>3245</v>
      </c>
      <c r="D368" s="2">
        <f>HYPERLINK("https://my.zakupki.prom.ua/remote/dispatcher/state_contracting_view/7087177", "UA-2020-12-24-006433-c-c1")</f>
        <v/>
      </c>
      <c r="E368" t="s" s="1">
        <v>2178</v>
      </c>
      <c r="F368" t="s" s="1">
        <v>3104</v>
      </c>
      <c r="G368" t="s" s="1">
        <v>3104</v>
      </c>
      <c r="H368" t="s" s="1">
        <v>1154</v>
      </c>
      <c r="I368" t="s" s="1">
        <v>2361</v>
      </c>
      <c r="J368" t="s" s="1">
        <v>3412</v>
      </c>
      <c r="K368" t="s" s="1">
        <v>833</v>
      </c>
      <c r="L368" t="s" s="1">
        <v>51</v>
      </c>
      <c r="M368" t="n" s="5">
        <v>800.0</v>
      </c>
      <c r="N368" t="n" s="7">
        <v>44188.0</v>
      </c>
      <c r="O368" t="n" s="7">
        <v>44196.0</v>
      </c>
      <c r="P368" t="s" s="1">
        <v>3499</v>
      </c>
    </row>
    <row r="369" spans="1:16">
      <c r="A369" t="n" s="4">
        <v>364</v>
      </c>
      <c r="B369" s="2">
        <f>HYPERLINK("https://my.zakupki.prom.ua/remote/dispatcher/state_purchase_view/22461515", "UA-2020-12-21-012985-c")</f>
        <v/>
      </c>
      <c r="C369" t="s" s="2">
        <v>3245</v>
      </c>
      <c r="D369" s="2">
        <f>HYPERLINK("https://my.zakupki.prom.ua/remote/dispatcher/state_contracting_view/6997172", "UA-2020-12-21-012985-c-c1")</f>
        <v/>
      </c>
      <c r="E369" t="s" s="1">
        <v>2195</v>
      </c>
      <c r="F369" t="s" s="1">
        <v>2837</v>
      </c>
      <c r="G369" t="s" s="1">
        <v>2837</v>
      </c>
      <c r="H369" t="s" s="1">
        <v>703</v>
      </c>
      <c r="I369" t="s" s="1">
        <v>2361</v>
      </c>
      <c r="J369" t="s" s="1">
        <v>3307</v>
      </c>
      <c r="K369" t="s" s="1">
        <v>776</v>
      </c>
      <c r="L369" t="s" s="1">
        <v>116</v>
      </c>
      <c r="M369" t="n" s="5">
        <v>300000.0</v>
      </c>
      <c r="N369" t="n" s="7">
        <v>44186.0</v>
      </c>
      <c r="O369" t="n" s="7">
        <v>44196.0</v>
      </c>
      <c r="P369" t="s" s="1">
        <v>3499</v>
      </c>
    </row>
    <row r="370" spans="1:16">
      <c r="A370" t="n" s="4">
        <v>365</v>
      </c>
      <c r="B370" s="2">
        <f>HYPERLINK("https://my.zakupki.prom.ua/remote/dispatcher/state_purchase_view/16903816", "UA-2020-05-27-007810-b")</f>
        <v/>
      </c>
      <c r="C370" t="s" s="2">
        <v>3245</v>
      </c>
      <c r="D370" s="2">
        <f>HYPERLINK("https://my.zakupki.prom.ua/remote/dispatcher/state_contracting_view/4380247", "UA-2020-05-27-007810-b-b1")</f>
        <v/>
      </c>
      <c r="E370" t="s" s="1">
        <v>1503</v>
      </c>
      <c r="F370" t="s" s="1">
        <v>2479</v>
      </c>
      <c r="G370" t="s" s="1">
        <v>2480</v>
      </c>
      <c r="H370" t="s" s="1">
        <v>725</v>
      </c>
      <c r="I370" t="s" s="1">
        <v>2361</v>
      </c>
      <c r="J370" t="s" s="1">
        <v>2341</v>
      </c>
      <c r="K370" t="s" s="1">
        <v>678</v>
      </c>
      <c r="L370" t="s" s="1">
        <v>235</v>
      </c>
      <c r="M370" t="n" s="5">
        <v>8324.21</v>
      </c>
      <c r="N370" t="n" s="7">
        <v>43977.0</v>
      </c>
      <c r="O370" t="n" s="7">
        <v>44196.0</v>
      </c>
      <c r="P370" t="s" s="1">
        <v>3499</v>
      </c>
    </row>
    <row r="371" spans="1:16">
      <c r="A371" t="n" s="4">
        <v>366</v>
      </c>
      <c r="B371" s="2">
        <f>HYPERLINK("https://my.zakupki.prom.ua/remote/dispatcher/state_purchase_view/17035451", "UA-2020-06-03-007832-b")</f>
        <v/>
      </c>
      <c r="C371" t="s" s="2">
        <v>3245</v>
      </c>
      <c r="D371" s="2">
        <f>HYPERLINK("https://my.zakupki.prom.ua/remote/dispatcher/state_contracting_view/4439001", "UA-2020-06-03-007832-b-b1")</f>
        <v/>
      </c>
      <c r="E371" t="s" s="1">
        <v>1878</v>
      </c>
      <c r="F371" t="s" s="1">
        <v>2457</v>
      </c>
      <c r="G371" t="s" s="1">
        <v>2451</v>
      </c>
      <c r="H371" t="s" s="1">
        <v>718</v>
      </c>
      <c r="I371" t="s" s="1">
        <v>2361</v>
      </c>
      <c r="J371" t="s" s="1">
        <v>3392</v>
      </c>
      <c r="K371" t="s" s="1">
        <v>428</v>
      </c>
      <c r="L371" t="s" s="1">
        <v>249</v>
      </c>
      <c r="M371" t="n" s="5">
        <v>2936.5</v>
      </c>
      <c r="N371" t="n" s="7">
        <v>43983.0</v>
      </c>
      <c r="O371" t="n" s="7">
        <v>44196.0</v>
      </c>
      <c r="P371" t="s" s="1">
        <v>3499</v>
      </c>
    </row>
    <row r="372" spans="1:16">
      <c r="A372" t="n" s="4">
        <v>367</v>
      </c>
      <c r="B372" s="2">
        <f>HYPERLINK("https://my.zakupki.prom.ua/remote/dispatcher/state_purchase_view/15699168", "UA-2020-03-11-002207-b")</f>
        <v/>
      </c>
      <c r="C372" t="s" s="2">
        <v>3245</v>
      </c>
      <c r="D372" s="2">
        <f>HYPERLINK("https://my.zakupki.prom.ua/remote/dispatcher/state_contracting_view/3918838", "UA-2020-03-11-002207-b-b1")</f>
        <v/>
      </c>
      <c r="E372" t="s" s="1">
        <v>1467</v>
      </c>
      <c r="F372" t="s" s="1">
        <v>3320</v>
      </c>
      <c r="G372" t="s" s="1">
        <v>3320</v>
      </c>
      <c r="H372" t="s" s="1">
        <v>1149</v>
      </c>
      <c r="I372" t="s" s="1">
        <v>2361</v>
      </c>
      <c r="J372" t="s" s="1">
        <v>2317</v>
      </c>
      <c r="K372" t="s" s="1">
        <v>266</v>
      </c>
      <c r="L372" t="s" s="1">
        <v>1207</v>
      </c>
      <c r="M372" t="n" s="5">
        <v>3000.0</v>
      </c>
      <c r="N372" t="n" s="7">
        <v>43901.0</v>
      </c>
      <c r="O372" t="n" s="7">
        <v>44196.0</v>
      </c>
      <c r="P372" t="s" s="1">
        <v>3499</v>
      </c>
    </row>
    <row r="373" spans="1:16">
      <c r="A373" t="n" s="4">
        <v>368</v>
      </c>
      <c r="B373" s="2">
        <f>HYPERLINK("https://my.zakupki.prom.ua/remote/dispatcher/state_purchase_view/15722540", "UA-2020-03-12-001316-b")</f>
        <v/>
      </c>
      <c r="C373" t="s" s="2">
        <v>3245</v>
      </c>
      <c r="D373" s="2">
        <f>HYPERLINK("https://my.zakupki.prom.ua/remote/dispatcher/state_contracting_view/3930129", "UA-2020-03-12-001316-b-b1")</f>
        <v/>
      </c>
      <c r="E373" t="s" s="1">
        <v>2184</v>
      </c>
      <c r="F373" t="s" s="1">
        <v>2299</v>
      </c>
      <c r="G373" t="s" s="1">
        <v>2299</v>
      </c>
      <c r="H373" t="s" s="1">
        <v>1003</v>
      </c>
      <c r="I373" t="s" s="1">
        <v>2361</v>
      </c>
      <c r="J373" t="s" s="1">
        <v>3303</v>
      </c>
      <c r="K373" t="s" s="1">
        <v>437</v>
      </c>
      <c r="L373" t="s" s="1">
        <v>1557</v>
      </c>
      <c r="M373" t="n" s="5">
        <v>4335.0</v>
      </c>
      <c r="N373" t="n" s="7">
        <v>43902.0</v>
      </c>
      <c r="O373" t="n" s="7">
        <v>44196.0</v>
      </c>
      <c r="P373" t="s" s="1">
        <v>3499</v>
      </c>
    </row>
    <row r="374" spans="1:16">
      <c r="A374" t="n" s="4">
        <v>369</v>
      </c>
      <c r="B374" s="2">
        <f>HYPERLINK("https://my.zakupki.prom.ua/remote/dispatcher/state_purchase_view/15708019", "UA-2020-03-11-004023-b")</f>
        <v/>
      </c>
      <c r="C374" t="s" s="2">
        <v>3245</v>
      </c>
      <c r="D374" s="2">
        <f>HYPERLINK("https://my.zakupki.prom.ua/remote/dispatcher/state_contracting_view/3921264", "UA-2020-03-11-004023-b-b1")</f>
        <v/>
      </c>
      <c r="E374" t="s" s="1">
        <v>1739</v>
      </c>
      <c r="F374" t="s" s="1">
        <v>2380</v>
      </c>
      <c r="G374" t="s" s="1">
        <v>2379</v>
      </c>
      <c r="H374" t="s" s="1">
        <v>1052</v>
      </c>
      <c r="I374" t="s" s="1">
        <v>2361</v>
      </c>
      <c r="J374" t="s" s="1">
        <v>3389</v>
      </c>
      <c r="K374" t="s" s="1">
        <v>956</v>
      </c>
      <c r="L374" t="s" s="1">
        <v>1424</v>
      </c>
      <c r="M374" t="n" s="5">
        <v>295763.0</v>
      </c>
      <c r="N374" t="n" s="7">
        <v>43901.0</v>
      </c>
      <c r="O374" t="n" s="7">
        <v>44196.0</v>
      </c>
      <c r="P374" t="s" s="1">
        <v>3474</v>
      </c>
    </row>
    <row r="375" spans="1:16">
      <c r="A375" t="n" s="4">
        <v>370</v>
      </c>
      <c r="B375" s="2">
        <f>HYPERLINK("https://my.zakupki.prom.ua/remote/dispatcher/state_purchase_view/17662027", "UA-2020-07-06-001142-a")</f>
        <v/>
      </c>
      <c r="C375" t="s" s="2">
        <v>3245</v>
      </c>
      <c r="D375" s="2">
        <f>HYPERLINK("https://my.zakupki.prom.ua/remote/dispatcher/state_contracting_view/4728498", "UA-2020-07-06-001142-a-a1")</f>
        <v/>
      </c>
      <c r="E375" t="s" s="1">
        <v>1997</v>
      </c>
      <c r="F375" t="s" s="1">
        <v>3143</v>
      </c>
      <c r="G375" t="s" s="1">
        <v>3143</v>
      </c>
      <c r="H375" t="s" s="1">
        <v>1665</v>
      </c>
      <c r="I375" t="s" s="1">
        <v>2361</v>
      </c>
      <c r="J375" t="s" s="1">
        <v>2318</v>
      </c>
      <c r="K375" t="s" s="1">
        <v>832</v>
      </c>
      <c r="L375" t="s" s="1">
        <v>488</v>
      </c>
      <c r="M375" t="n" s="5">
        <v>197.81</v>
      </c>
      <c r="N375" t="n" s="7">
        <v>44018.0</v>
      </c>
      <c r="O375" t="n" s="7">
        <v>44196.0</v>
      </c>
      <c r="P375" t="s" s="1">
        <v>3499</v>
      </c>
    </row>
    <row r="376" spans="1:16">
      <c r="A376" t="n" s="4">
        <v>371</v>
      </c>
      <c r="B376" s="2">
        <f>HYPERLINK("https://my.zakupki.prom.ua/remote/dispatcher/state_purchase_view/18033231", "UA-2020-07-22-002065-b")</f>
        <v/>
      </c>
      <c r="C376" t="s" s="2">
        <v>3245</v>
      </c>
      <c r="D376" s="2">
        <f>HYPERLINK("https://my.zakupki.prom.ua/remote/dispatcher/state_contracting_view/4901368", "UA-2020-07-22-002065-b-b1")</f>
        <v/>
      </c>
      <c r="E376" t="s" s="1">
        <v>1206</v>
      </c>
      <c r="F376" t="s" s="1">
        <v>2596</v>
      </c>
      <c r="G376" t="s" s="1">
        <v>2596</v>
      </c>
      <c r="H376" t="s" s="1">
        <v>221</v>
      </c>
      <c r="I376" t="s" s="1">
        <v>2361</v>
      </c>
      <c r="J376" t="s" s="1">
        <v>3467</v>
      </c>
      <c r="K376" t="s" s="1">
        <v>766</v>
      </c>
      <c r="L376" t="s" s="1">
        <v>772</v>
      </c>
      <c r="M376" t="n" s="5">
        <v>3041.75</v>
      </c>
      <c r="N376" t="n" s="7">
        <v>44033.0</v>
      </c>
      <c r="O376" t="n" s="7">
        <v>44196.0</v>
      </c>
      <c r="P376" t="s" s="1">
        <v>3499</v>
      </c>
    </row>
    <row r="377" spans="1:16">
      <c r="A377" t="n" s="4">
        <v>372</v>
      </c>
      <c r="B377" s="2">
        <f>HYPERLINK("https://my.zakupki.prom.ua/remote/dispatcher/state_purchase_view/18337826", "UA-2020-08-05-006960-a")</f>
        <v/>
      </c>
      <c r="C377" t="s" s="2">
        <v>3245</v>
      </c>
      <c r="D377" s="2">
        <f>HYPERLINK("https://my.zakupki.prom.ua/remote/dispatcher/state_contracting_view/5042370", "UA-2020-08-05-006960-a-a1")</f>
        <v/>
      </c>
      <c r="E377" t="s" s="1">
        <v>1966</v>
      </c>
      <c r="F377" t="s" s="1">
        <v>2591</v>
      </c>
      <c r="G377" t="s" s="1">
        <v>2591</v>
      </c>
      <c r="H377" t="s" s="1">
        <v>221</v>
      </c>
      <c r="I377" t="s" s="1">
        <v>2361</v>
      </c>
      <c r="J377" t="s" s="1">
        <v>3467</v>
      </c>
      <c r="K377" t="s" s="1">
        <v>766</v>
      </c>
      <c r="L377" t="s" s="1">
        <v>967</v>
      </c>
      <c r="M377" t="n" s="5">
        <v>1130.6</v>
      </c>
      <c r="N377" t="n" s="7">
        <v>44047.0</v>
      </c>
      <c r="O377" t="n" s="7">
        <v>44196.0</v>
      </c>
      <c r="P377" t="s" s="1">
        <v>3499</v>
      </c>
    </row>
    <row r="378" spans="1:16">
      <c r="A378" t="n" s="4">
        <v>373</v>
      </c>
      <c r="B378" s="2">
        <f>HYPERLINK("https://my.zakupki.prom.ua/remote/dispatcher/state_purchase_view/18511366", "UA-2020-08-13-000855-a")</f>
        <v/>
      </c>
      <c r="C378" t="s" s="2">
        <v>3245</v>
      </c>
      <c r="D378" s="2">
        <f>HYPERLINK("https://my.zakupki.prom.ua/remote/dispatcher/state_contracting_view/5124186", "UA-2020-08-13-000855-a-a1")</f>
        <v/>
      </c>
      <c r="E378" t="s" s="1">
        <v>411</v>
      </c>
      <c r="F378" t="s" s="1">
        <v>2787</v>
      </c>
      <c r="G378" t="s" s="1">
        <v>2787</v>
      </c>
      <c r="H378" t="s" s="1">
        <v>690</v>
      </c>
      <c r="I378" t="s" s="1">
        <v>2361</v>
      </c>
      <c r="J378" t="s" s="1">
        <v>3392</v>
      </c>
      <c r="K378" t="s" s="1">
        <v>428</v>
      </c>
      <c r="L378" t="s" s="1">
        <v>1073</v>
      </c>
      <c r="M378" t="n" s="5">
        <v>7775.0</v>
      </c>
      <c r="N378" t="n" s="7">
        <v>44056.0</v>
      </c>
      <c r="O378" t="n" s="7">
        <v>44196.0</v>
      </c>
      <c r="P378" t="s" s="1">
        <v>3499</v>
      </c>
    </row>
    <row r="379" spans="1:16">
      <c r="A379" t="n" s="4">
        <v>374</v>
      </c>
      <c r="B379" s="2">
        <f>HYPERLINK("https://my.zakupki.prom.ua/remote/dispatcher/state_purchase_view/18559459", "UA-2020-08-14-005402-a")</f>
        <v/>
      </c>
      <c r="C379" t="s" s="2">
        <v>3245</v>
      </c>
      <c r="D379" s="2">
        <f>HYPERLINK("https://my.zakupki.prom.ua/remote/dispatcher/state_contracting_view/5147834", "UA-2020-08-14-005402-a-a1")</f>
        <v/>
      </c>
      <c r="E379" t="s" s="1">
        <v>1128</v>
      </c>
      <c r="F379" t="s" s="1">
        <v>2786</v>
      </c>
      <c r="G379" t="s" s="1">
        <v>2786</v>
      </c>
      <c r="H379" t="s" s="1">
        <v>690</v>
      </c>
      <c r="I379" t="s" s="1">
        <v>2361</v>
      </c>
      <c r="J379" t="s" s="1">
        <v>3377</v>
      </c>
      <c r="K379" t="s" s="1">
        <v>722</v>
      </c>
      <c r="L379" t="s" s="1">
        <v>278</v>
      </c>
      <c r="M379" t="n" s="5">
        <v>152000.0</v>
      </c>
      <c r="N379" t="n" s="7">
        <v>44056.0</v>
      </c>
      <c r="O379" t="n" s="7">
        <v>44196.0</v>
      </c>
      <c r="P379" t="s" s="1">
        <v>3499</v>
      </c>
    </row>
    <row r="380" spans="1:16">
      <c r="A380" t="n" s="4">
        <v>375</v>
      </c>
      <c r="B380" s="2">
        <f>HYPERLINK("https://my.zakupki.prom.ua/remote/dispatcher/state_purchase_view/17332933", "UA-2020-06-18-002607-c")</f>
        <v/>
      </c>
      <c r="C380" t="s" s="2">
        <v>3245</v>
      </c>
      <c r="D380" s="2">
        <f>HYPERLINK("https://my.zakupki.prom.ua/remote/dispatcher/state_contracting_view/4575767", "UA-2020-06-18-002607-c-c1")</f>
        <v/>
      </c>
      <c r="E380" t="s" s="1">
        <v>579</v>
      </c>
      <c r="F380" t="s" s="1">
        <v>2443</v>
      </c>
      <c r="G380" t="s" s="1">
        <v>2443</v>
      </c>
      <c r="H380" t="s" s="1">
        <v>703</v>
      </c>
      <c r="I380" t="s" s="1">
        <v>2361</v>
      </c>
      <c r="J380" t="s" s="1">
        <v>3392</v>
      </c>
      <c r="K380" t="s" s="1">
        <v>428</v>
      </c>
      <c r="L380" t="s" s="1">
        <v>349</v>
      </c>
      <c r="M380" t="n" s="5">
        <v>936.29</v>
      </c>
      <c r="N380" t="n" s="7">
        <v>43998.0</v>
      </c>
      <c r="O380" t="n" s="7">
        <v>44196.0</v>
      </c>
      <c r="P380" t="s" s="1">
        <v>3499</v>
      </c>
    </row>
    <row r="381" spans="1:16">
      <c r="A381" t="n" s="4">
        <v>376</v>
      </c>
      <c r="B381" s="2">
        <f>HYPERLINK("https://my.zakupki.prom.ua/remote/dispatcher/state_purchase_view/17067340", "UA-2020-06-04-008204-b")</f>
        <v/>
      </c>
      <c r="C381" t="s" s="2">
        <v>3245</v>
      </c>
      <c r="D381" s="2">
        <f>HYPERLINK("https://my.zakupki.prom.ua/remote/dispatcher/state_contracting_view/4453470", "UA-2020-06-04-008204-b-b1")</f>
        <v/>
      </c>
      <c r="E381" t="s" s="1">
        <v>1372</v>
      </c>
      <c r="F381" t="s" s="1">
        <v>1309</v>
      </c>
      <c r="G381" t="s" s="1">
        <v>1309</v>
      </c>
      <c r="H381" t="s" s="1">
        <v>1307</v>
      </c>
      <c r="I381" t="s" s="1">
        <v>2361</v>
      </c>
      <c r="J381" t="s" s="1">
        <v>3388</v>
      </c>
      <c r="K381" t="s" s="1">
        <v>632</v>
      </c>
      <c r="L381" t="s" s="1">
        <v>1435</v>
      </c>
      <c r="M381" t="n" s="5">
        <v>8820.0</v>
      </c>
      <c r="N381" t="n" s="7">
        <v>43986.0</v>
      </c>
      <c r="O381" t="n" s="7">
        <v>44196.0</v>
      </c>
      <c r="P381" t="s" s="1">
        <v>3499</v>
      </c>
    </row>
    <row r="382" spans="1:16">
      <c r="A382" t="n" s="4">
        <v>377</v>
      </c>
      <c r="B382" s="2">
        <f>HYPERLINK("https://my.zakupki.prom.ua/remote/dispatcher/state_purchase_view/17241264", "UA-2020-06-15-004279-c")</f>
        <v/>
      </c>
      <c r="C382" t="s" s="2">
        <v>3245</v>
      </c>
      <c r="D382" s="2">
        <f>HYPERLINK("https://my.zakupki.prom.ua/remote/dispatcher/state_contracting_view/4533290", "UA-2020-06-15-004279-c-c1")</f>
        <v/>
      </c>
      <c r="E382" t="s" s="1">
        <v>156</v>
      </c>
      <c r="F382" t="s" s="1">
        <v>2421</v>
      </c>
      <c r="G382" t="s" s="1">
        <v>3231</v>
      </c>
      <c r="H382" t="s" s="1">
        <v>734</v>
      </c>
      <c r="I382" t="s" s="1">
        <v>2361</v>
      </c>
      <c r="J382" t="s" s="1">
        <v>3418</v>
      </c>
      <c r="K382" t="s" s="1">
        <v>949</v>
      </c>
      <c r="L382" t="s" s="1">
        <v>3187</v>
      </c>
      <c r="M382" t="n" s="5">
        <v>526.0</v>
      </c>
      <c r="N382" t="n" s="7">
        <v>43997.0</v>
      </c>
      <c r="O382" t="n" s="7">
        <v>44196.0</v>
      </c>
      <c r="P382" t="s" s="1">
        <v>3499</v>
      </c>
    </row>
    <row r="383" spans="1:16">
      <c r="A383" t="n" s="4">
        <v>378</v>
      </c>
      <c r="B383" s="2">
        <f>HYPERLINK("https://my.zakupki.prom.ua/remote/dispatcher/state_purchase_view/18800706", "UA-2020-08-26-006663-a")</f>
        <v/>
      </c>
      <c r="C383" t="s" s="2">
        <v>3245</v>
      </c>
      <c r="D383" s="2">
        <f>HYPERLINK("https://my.zakupki.prom.ua/remote/dispatcher/state_contracting_view/5262164", "UA-2020-08-26-006663-a-a1")</f>
        <v/>
      </c>
      <c r="E383" t="s" s="1">
        <v>1164</v>
      </c>
      <c r="F383" t="s" s="1">
        <v>3107</v>
      </c>
      <c r="G383" t="s" s="1">
        <v>3107</v>
      </c>
      <c r="H383" t="s" s="1">
        <v>1307</v>
      </c>
      <c r="I383" t="s" s="1">
        <v>2361</v>
      </c>
      <c r="J383" t="s" s="1">
        <v>3388</v>
      </c>
      <c r="K383" t="s" s="1">
        <v>632</v>
      </c>
      <c r="L383" t="s" s="1">
        <v>1436</v>
      </c>
      <c r="M383" t="n" s="5">
        <v>30870.0</v>
      </c>
      <c r="N383" t="n" s="7">
        <v>44069.0</v>
      </c>
      <c r="O383" t="n" s="7">
        <v>44196.0</v>
      </c>
      <c r="P383" t="s" s="1">
        <v>3499</v>
      </c>
    </row>
    <row r="384" spans="1:16">
      <c r="A384" t="n" s="4">
        <v>379</v>
      </c>
      <c r="B384" s="2">
        <f>HYPERLINK("https://my.zakupki.prom.ua/remote/dispatcher/state_purchase_view/18796200", "UA-2020-08-26-005370-a")</f>
        <v/>
      </c>
      <c r="C384" t="s" s="2">
        <v>3245</v>
      </c>
      <c r="D384" s="2">
        <f>HYPERLINK("https://my.zakupki.prom.ua/remote/dispatcher/state_contracting_view/5260072", "UA-2020-08-26-005370-a-a1")</f>
        <v/>
      </c>
      <c r="E384" t="s" s="1">
        <v>2140</v>
      </c>
      <c r="F384" t="s" s="1">
        <v>2768</v>
      </c>
      <c r="G384" t="s" s="1">
        <v>2768</v>
      </c>
      <c r="H384" t="s" s="1">
        <v>690</v>
      </c>
      <c r="I384" t="s" s="1">
        <v>2361</v>
      </c>
      <c r="J384" t="s" s="1">
        <v>3403</v>
      </c>
      <c r="K384" t="s" s="1">
        <v>771</v>
      </c>
      <c r="L384" t="s" s="1">
        <v>1188</v>
      </c>
      <c r="M384" t="n" s="5">
        <v>7785.0</v>
      </c>
      <c r="N384" t="n" s="7">
        <v>44069.0</v>
      </c>
      <c r="O384" t="n" s="7">
        <v>44196.0</v>
      </c>
      <c r="P384" t="s" s="1">
        <v>3499</v>
      </c>
    </row>
    <row r="385" spans="1:16">
      <c r="A385" t="n" s="4">
        <v>380</v>
      </c>
      <c r="B385" s="2">
        <f>HYPERLINK("https://my.zakupki.prom.ua/remote/dispatcher/state_purchase_view/19323566", "UA-2020-09-16-005937-a")</f>
        <v/>
      </c>
      <c r="C385" t="s" s="2">
        <v>3245</v>
      </c>
      <c r="D385" s="2">
        <f>HYPERLINK("https://my.zakupki.prom.ua/remote/dispatcher/state_contracting_view/5509476", "UA-2020-09-16-005937-a-a1")</f>
        <v/>
      </c>
      <c r="E385" t="s" s="1">
        <v>82</v>
      </c>
      <c r="F385" t="s" s="1">
        <v>3085</v>
      </c>
      <c r="G385" t="s" s="1">
        <v>3085</v>
      </c>
      <c r="H385" t="s" s="1">
        <v>1042</v>
      </c>
      <c r="I385" t="s" s="1">
        <v>2361</v>
      </c>
      <c r="J385" t="s" s="1">
        <v>3251</v>
      </c>
      <c r="K385" t="s" s="1">
        <v>486</v>
      </c>
      <c r="L385" t="s" s="1">
        <v>1342</v>
      </c>
      <c r="M385" t="n" s="5">
        <v>48934.0</v>
      </c>
      <c r="N385" t="n" s="7">
        <v>44090.0</v>
      </c>
      <c r="O385" t="n" s="7">
        <v>44196.0</v>
      </c>
      <c r="P385" t="s" s="1">
        <v>3499</v>
      </c>
    </row>
    <row r="386" spans="1:16">
      <c r="A386" t="n" s="4">
        <v>381</v>
      </c>
      <c r="B386" s="2">
        <f>HYPERLINK("https://my.zakupki.prom.ua/remote/dispatcher/state_purchase_view/19451271", "UA-2020-09-21-009050-b")</f>
        <v/>
      </c>
      <c r="C386" t="s" s="2">
        <v>3245</v>
      </c>
      <c r="D386" s="2">
        <f>HYPERLINK("https://my.zakupki.prom.ua/remote/dispatcher/state_contracting_view/5569314", "UA-2020-09-21-009050-b-b1")</f>
        <v/>
      </c>
      <c r="E386" t="s" s="1">
        <v>322</v>
      </c>
      <c r="F386" t="s" s="1">
        <v>2930</v>
      </c>
      <c r="G386" t="s" s="1">
        <v>2930</v>
      </c>
      <c r="H386" t="s" s="1">
        <v>724</v>
      </c>
      <c r="I386" t="s" s="1">
        <v>2361</v>
      </c>
      <c r="J386" t="s" s="1">
        <v>3409</v>
      </c>
      <c r="K386" t="s" s="1">
        <v>823</v>
      </c>
      <c r="L386" t="s" s="1">
        <v>443</v>
      </c>
      <c r="M386" t="n" s="5">
        <v>10272.0</v>
      </c>
      <c r="N386" t="n" s="7">
        <v>44095.0</v>
      </c>
      <c r="O386" t="n" s="7">
        <v>44196.0</v>
      </c>
      <c r="P386" t="s" s="1">
        <v>3499</v>
      </c>
    </row>
    <row r="387" spans="1:16">
      <c r="A387" t="n" s="4">
        <v>382</v>
      </c>
      <c r="B387" s="2">
        <f>HYPERLINK("https://my.zakupki.prom.ua/remote/dispatcher/state_purchase_view/20015770", "UA-2020-10-12-001645-b")</f>
        <v/>
      </c>
      <c r="C387" t="s" s="2">
        <v>3245</v>
      </c>
      <c r="D387" s="2">
        <f>HYPERLINK("https://my.zakupki.prom.ua/remote/dispatcher/state_contracting_view/5834746", "UA-2020-10-12-001645-b-b1")</f>
        <v/>
      </c>
      <c r="E387" t="s" s="1">
        <v>1630</v>
      </c>
      <c r="F387" t="s" s="1">
        <v>2576</v>
      </c>
      <c r="G387" t="s" s="1">
        <v>2576</v>
      </c>
      <c r="H387" t="s" s="1">
        <v>219</v>
      </c>
      <c r="I387" t="s" s="1">
        <v>2361</v>
      </c>
      <c r="J387" t="s" s="1">
        <v>3467</v>
      </c>
      <c r="K387" t="s" s="1">
        <v>766</v>
      </c>
      <c r="L387" t="s" s="1">
        <v>1495</v>
      </c>
      <c r="M387" t="n" s="5">
        <v>3600.0</v>
      </c>
      <c r="N387" t="n" s="7">
        <v>44113.0</v>
      </c>
      <c r="O387" t="n" s="7">
        <v>44196.0</v>
      </c>
      <c r="P387" t="s" s="1">
        <v>3499</v>
      </c>
    </row>
    <row r="388" spans="1:16">
      <c r="A388" t="n" s="4">
        <v>383</v>
      </c>
      <c r="B388" s="2">
        <f>HYPERLINK("https://my.zakupki.prom.ua/remote/dispatcher/state_purchase_view/20036395", "UA-2020-10-12-005952-c")</f>
        <v/>
      </c>
      <c r="C388" t="s" s="2">
        <v>3245</v>
      </c>
      <c r="D388" s="2">
        <f>HYPERLINK("https://my.zakupki.prom.ua/remote/dispatcher/state_contracting_view/5844592", "UA-2020-10-12-005952-c-c1")</f>
        <v/>
      </c>
      <c r="E388" t="s" s="1">
        <v>1945</v>
      </c>
      <c r="F388" t="s" s="1">
        <v>2781</v>
      </c>
      <c r="G388" t="s" s="1">
        <v>3518</v>
      </c>
      <c r="H388" t="s" s="1">
        <v>690</v>
      </c>
      <c r="I388" t="s" s="1">
        <v>2361</v>
      </c>
      <c r="J388" t="s" s="1">
        <v>3377</v>
      </c>
      <c r="K388" t="s" s="1">
        <v>722</v>
      </c>
      <c r="L388" t="s" s="1">
        <v>472</v>
      </c>
      <c r="M388" t="n" s="5">
        <v>17450.0</v>
      </c>
      <c r="N388" t="n" s="7">
        <v>44116.0</v>
      </c>
      <c r="O388" t="n" s="7">
        <v>44196.0</v>
      </c>
      <c r="P388" t="s" s="1">
        <v>3499</v>
      </c>
    </row>
    <row r="389" spans="1:16">
      <c r="A389" t="n" s="4">
        <v>384</v>
      </c>
      <c r="B389" s="2">
        <f>HYPERLINK("https://my.zakupki.prom.ua/remote/dispatcher/state_purchase_view/20210447", "UA-2020-10-19-004456-c")</f>
        <v/>
      </c>
      <c r="C389" t="s" s="2">
        <v>3245</v>
      </c>
      <c r="D389" s="2">
        <f>HYPERLINK("https://my.zakupki.prom.ua/remote/dispatcher/state_contracting_view/5927507", "UA-2020-10-19-004456-c-c1")</f>
        <v/>
      </c>
      <c r="E389" t="s" s="1">
        <v>1975</v>
      </c>
      <c r="F389" t="s" s="1">
        <v>3001</v>
      </c>
      <c r="G389" t="s" s="1">
        <v>3001</v>
      </c>
      <c r="H389" t="s" s="1">
        <v>848</v>
      </c>
      <c r="I389" t="s" s="1">
        <v>2361</v>
      </c>
      <c r="J389" t="s" s="1">
        <v>3467</v>
      </c>
      <c r="K389" t="s" s="1">
        <v>766</v>
      </c>
      <c r="L389" t="s" s="1">
        <v>1548</v>
      </c>
      <c r="M389" t="n" s="5">
        <v>1040.0</v>
      </c>
      <c r="N389" t="n" s="7">
        <v>44120.0</v>
      </c>
      <c r="O389" t="n" s="7">
        <v>44196.0</v>
      </c>
      <c r="P389" t="s" s="1">
        <v>3499</v>
      </c>
    </row>
    <row r="390" spans="1:16">
      <c r="A390" t="n" s="4">
        <v>385</v>
      </c>
      <c r="B390" s="2">
        <f>HYPERLINK("https://my.zakupki.prom.ua/remote/dispatcher/state_purchase_view/20203611", "UA-2020-10-19-002529-c")</f>
        <v/>
      </c>
      <c r="C390" t="s" s="2">
        <v>3245</v>
      </c>
      <c r="D390" s="2">
        <f>HYPERLINK("https://my.zakupki.prom.ua/remote/dispatcher/state_contracting_view/5924398", "UA-2020-10-19-002529-c-c1")</f>
        <v/>
      </c>
      <c r="E390" t="s" s="1">
        <v>2091</v>
      </c>
      <c r="F390" t="s" s="1">
        <v>2998</v>
      </c>
      <c r="G390" t="s" s="1">
        <v>2998</v>
      </c>
      <c r="H390" t="s" s="1">
        <v>848</v>
      </c>
      <c r="I390" t="s" s="1">
        <v>2361</v>
      </c>
      <c r="J390" t="s" s="1">
        <v>3467</v>
      </c>
      <c r="K390" t="s" s="1">
        <v>766</v>
      </c>
      <c r="L390" t="s" s="1">
        <v>1535</v>
      </c>
      <c r="M390" t="n" s="5">
        <v>3417.0</v>
      </c>
      <c r="N390" t="n" s="7">
        <v>44120.0</v>
      </c>
      <c r="O390" t="n" s="7">
        <v>44196.0</v>
      </c>
      <c r="P390" t="s" s="1">
        <v>3499</v>
      </c>
    </row>
    <row r="391" spans="1:16">
      <c r="A391" t="n" s="4">
        <v>386</v>
      </c>
      <c r="B391" s="2">
        <f>HYPERLINK("https://my.zakupki.prom.ua/remote/dispatcher/state_purchase_view/18983054", "UA-2020-09-03-005243-b")</f>
        <v/>
      </c>
      <c r="C391" t="s" s="2">
        <v>3245</v>
      </c>
      <c r="D391" s="2">
        <f>HYPERLINK("https://my.zakupki.prom.ua/remote/dispatcher/state_contracting_view/5348148", "UA-2020-09-03-005243-b-b1")</f>
        <v/>
      </c>
      <c r="E391" t="s" s="1">
        <v>1221</v>
      </c>
      <c r="F391" t="s" s="1">
        <v>2556</v>
      </c>
      <c r="G391" t="s" s="1">
        <v>2556</v>
      </c>
      <c r="H391" t="s" s="1">
        <v>213</v>
      </c>
      <c r="I391" t="s" s="1">
        <v>2361</v>
      </c>
      <c r="J391" t="s" s="1">
        <v>3467</v>
      </c>
      <c r="K391" t="s" s="1">
        <v>766</v>
      </c>
      <c r="L391" t="s" s="1">
        <v>1213</v>
      </c>
      <c r="M391" t="n" s="5">
        <v>522.0</v>
      </c>
      <c r="N391" t="n" s="7">
        <v>44075.0</v>
      </c>
      <c r="O391" t="n" s="7">
        <v>44196.0</v>
      </c>
      <c r="P391" t="s" s="1">
        <v>3499</v>
      </c>
    </row>
    <row r="392" spans="1:16">
      <c r="A392" t="n" s="4">
        <v>387</v>
      </c>
      <c r="B392" s="2">
        <f>HYPERLINK("https://my.zakupki.prom.ua/remote/dispatcher/state_purchase_view/18898795", "UA-2020-09-01-000327-b")</f>
        <v/>
      </c>
      <c r="C392" t="s" s="2">
        <v>3245</v>
      </c>
      <c r="D392" s="2">
        <f>HYPERLINK("https://my.zakupki.prom.ua/remote/dispatcher/state_contracting_view/5308458", "UA-2020-09-01-000327-b-b1")</f>
        <v/>
      </c>
      <c r="E392" t="s" s="1">
        <v>2121</v>
      </c>
      <c r="F392" t="s" s="1">
        <v>2684</v>
      </c>
      <c r="G392" t="s" s="1">
        <v>2684</v>
      </c>
      <c r="H392" t="s" s="1">
        <v>456</v>
      </c>
      <c r="I392" t="s" s="1">
        <v>2361</v>
      </c>
      <c r="J392" t="s" s="1">
        <v>2292</v>
      </c>
      <c r="K392" t="s" s="1">
        <v>545</v>
      </c>
      <c r="L392" t="s" s="1">
        <v>1201</v>
      </c>
      <c r="M392" t="n" s="5">
        <v>3900.0</v>
      </c>
      <c r="N392" t="n" s="7">
        <v>44075.0</v>
      </c>
      <c r="O392" t="n" s="7">
        <v>44196.0</v>
      </c>
      <c r="P392" t="s" s="1">
        <v>3499</v>
      </c>
    </row>
    <row r="393" spans="1:16">
      <c r="A393" t="n" s="4">
        <v>388</v>
      </c>
      <c r="B393" s="2">
        <f>HYPERLINK("https://my.zakupki.prom.ua/remote/dispatcher/state_purchase_view/19233021", "UA-2020-09-14-001007-b")</f>
        <v/>
      </c>
      <c r="C393" t="s" s="2">
        <v>3245</v>
      </c>
      <c r="D393" s="2">
        <f>HYPERLINK("https://my.zakupki.prom.ua/remote/dispatcher/state_contracting_view/5466618", "UA-2020-09-14-001007-b-b1")</f>
        <v/>
      </c>
      <c r="E393" t="s" s="1">
        <v>1429</v>
      </c>
      <c r="F393" t="s" s="1">
        <v>3148</v>
      </c>
      <c r="G393" t="s" s="1">
        <v>3148</v>
      </c>
      <c r="H393" t="s" s="1">
        <v>1759</v>
      </c>
      <c r="I393" t="s" s="1">
        <v>2361</v>
      </c>
      <c r="J393" t="s" s="1">
        <v>3390</v>
      </c>
      <c r="K393" t="s" s="1">
        <v>816</v>
      </c>
      <c r="L393" t="s" s="1">
        <v>1439</v>
      </c>
      <c r="M393" t="n" s="5">
        <v>49980.0</v>
      </c>
      <c r="N393" t="n" s="7">
        <v>44088.0</v>
      </c>
      <c r="O393" t="n" s="7">
        <v>44196.0</v>
      </c>
      <c r="P393" t="s" s="1">
        <v>3499</v>
      </c>
    </row>
    <row r="394" spans="1:16">
      <c r="A394" t="n" s="4">
        <v>389</v>
      </c>
      <c r="B394" s="2">
        <f>HYPERLINK("https://my.zakupki.prom.ua/remote/dispatcher/state_purchase_view/19122031", "UA-2020-09-09-002892-b")</f>
        <v/>
      </c>
      <c r="C394" t="s" s="2">
        <v>3245</v>
      </c>
      <c r="D394" s="2">
        <f>HYPERLINK("https://my.zakupki.prom.ua/remote/dispatcher/state_contracting_view/5413766", "UA-2020-09-09-002892-b-b1")</f>
        <v/>
      </c>
      <c r="E394" t="s" s="1">
        <v>330</v>
      </c>
      <c r="F394" t="s" s="1">
        <v>2572</v>
      </c>
      <c r="G394" t="s" s="1">
        <v>2572</v>
      </c>
      <c r="H394" t="s" s="1">
        <v>216</v>
      </c>
      <c r="I394" t="s" s="1">
        <v>2361</v>
      </c>
      <c r="J394" t="s" s="1">
        <v>3467</v>
      </c>
      <c r="K394" t="s" s="1">
        <v>766</v>
      </c>
      <c r="L394" t="s" s="1">
        <v>1256</v>
      </c>
      <c r="M394" t="n" s="5">
        <v>862.5</v>
      </c>
      <c r="N394" t="n" s="7">
        <v>44081.0</v>
      </c>
      <c r="O394" t="n" s="7">
        <v>44196.0</v>
      </c>
      <c r="P394" t="s" s="1">
        <v>3499</v>
      </c>
    </row>
    <row r="395" spans="1:16">
      <c r="A395" t="n" s="4">
        <v>390</v>
      </c>
      <c r="B395" s="2">
        <f>HYPERLINK("https://my.zakupki.prom.ua/remote/dispatcher/state_purchase_view/19113914", "UA-2020-09-09-000711-b")</f>
        <v/>
      </c>
      <c r="C395" t="s" s="2">
        <v>3245</v>
      </c>
      <c r="D395" s="2">
        <f>HYPERLINK("https://my.zakupki.prom.ua/remote/dispatcher/state_contracting_view/5410327", "UA-2020-09-09-000711-b-b1")</f>
        <v/>
      </c>
      <c r="E395" t="s" s="1">
        <v>1486</v>
      </c>
      <c r="F395" t="s" s="1">
        <v>2556</v>
      </c>
      <c r="G395" t="s" s="1">
        <v>2556</v>
      </c>
      <c r="H395" t="s" s="1">
        <v>213</v>
      </c>
      <c r="I395" t="s" s="1">
        <v>2361</v>
      </c>
      <c r="J395" t="s" s="1">
        <v>3467</v>
      </c>
      <c r="K395" t="s" s="1">
        <v>766</v>
      </c>
      <c r="L395" t="s" s="1">
        <v>1249</v>
      </c>
      <c r="M395" t="n" s="5">
        <v>265.0</v>
      </c>
      <c r="N395" t="n" s="7">
        <v>44081.0</v>
      </c>
      <c r="O395" t="n" s="7">
        <v>44196.0</v>
      </c>
      <c r="P395" t="s" s="1">
        <v>3499</v>
      </c>
    </row>
    <row r="396" spans="1:16">
      <c r="A396" t="n" s="4">
        <v>391</v>
      </c>
      <c r="B396" s="2">
        <f>HYPERLINK("https://my.zakupki.prom.ua/remote/dispatcher/state_purchase_view/18646333", "UA-2020-08-19-001361-a")</f>
        <v/>
      </c>
      <c r="C396" t="s" s="2">
        <v>3245</v>
      </c>
      <c r="D396" s="2">
        <f>HYPERLINK("https://my.zakupki.prom.ua/remote/dispatcher/state_contracting_view/5187296", "UA-2020-08-19-001361-a-a1")</f>
        <v/>
      </c>
      <c r="E396" t="s" s="1">
        <v>93</v>
      </c>
      <c r="F396" t="s" s="1">
        <v>2593</v>
      </c>
      <c r="G396" t="s" s="1">
        <v>2593</v>
      </c>
      <c r="H396" t="s" s="1">
        <v>221</v>
      </c>
      <c r="I396" t="s" s="1">
        <v>2361</v>
      </c>
      <c r="J396" t="s" s="1">
        <v>3467</v>
      </c>
      <c r="K396" t="s" s="1">
        <v>766</v>
      </c>
      <c r="L396" t="s" s="1">
        <v>1141</v>
      </c>
      <c r="M396" t="n" s="5">
        <v>1500.0</v>
      </c>
      <c r="N396" t="n" s="7">
        <v>44060.0</v>
      </c>
      <c r="O396" t="n" s="7">
        <v>44196.0</v>
      </c>
      <c r="P396" t="s" s="1">
        <v>3499</v>
      </c>
    </row>
    <row r="397" spans="1:16">
      <c r="A397" t="n" s="4">
        <v>392</v>
      </c>
      <c r="B397" s="2">
        <f>HYPERLINK("https://my.zakupki.prom.ua/remote/dispatcher/state_purchase_view/19350499", "UA-2020-09-17-002564-a")</f>
        <v/>
      </c>
      <c r="C397" t="s" s="2">
        <v>3245</v>
      </c>
      <c r="D397" s="2">
        <f>HYPERLINK("https://my.zakupki.prom.ua/remote/dispatcher/state_contracting_view/5522551", "UA-2020-09-17-002564-a-a1")</f>
        <v/>
      </c>
      <c r="E397" t="s" s="1">
        <v>65</v>
      </c>
      <c r="F397" t="s" s="1">
        <v>2504</v>
      </c>
      <c r="G397" t="s" s="1">
        <v>2504</v>
      </c>
      <c r="H397" t="s" s="1">
        <v>38</v>
      </c>
      <c r="I397" t="s" s="1">
        <v>2361</v>
      </c>
      <c r="J397" t="s" s="1">
        <v>3467</v>
      </c>
      <c r="K397" t="s" s="1">
        <v>766</v>
      </c>
      <c r="L397" t="s" s="1">
        <v>1331</v>
      </c>
      <c r="M397" t="n" s="5">
        <v>1260.0</v>
      </c>
      <c r="N397" t="n" s="7">
        <v>44089.0</v>
      </c>
      <c r="O397" t="n" s="7">
        <v>44196.0</v>
      </c>
      <c r="P397" t="s" s="1">
        <v>3499</v>
      </c>
    </row>
    <row r="398" spans="1:16">
      <c r="A398" t="n" s="4">
        <v>393</v>
      </c>
      <c r="B398" s="2">
        <f>HYPERLINK("https://my.zakupki.prom.ua/remote/dispatcher/state_purchase_view/19214324", "UA-2020-09-11-008771-b")</f>
        <v/>
      </c>
      <c r="C398" t="s" s="2">
        <v>3245</v>
      </c>
      <c r="D398" s="2">
        <f>HYPERLINK("https://my.zakupki.prom.ua/remote/dispatcher/state_contracting_view/5457062", "UA-2020-09-11-008771-b-b1")</f>
        <v/>
      </c>
      <c r="E398" t="s" s="1">
        <v>62</v>
      </c>
      <c r="F398" t="s" s="1">
        <v>3044</v>
      </c>
      <c r="G398" t="s" s="1">
        <v>3045</v>
      </c>
      <c r="H398" t="s" s="1">
        <v>1002</v>
      </c>
      <c r="I398" t="s" s="1">
        <v>2361</v>
      </c>
      <c r="J398" t="s" s="1">
        <v>3251</v>
      </c>
      <c r="K398" t="s" s="1">
        <v>486</v>
      </c>
      <c r="L398" t="s" s="1">
        <v>1275</v>
      </c>
      <c r="M398" t="n" s="5">
        <v>1500.56</v>
      </c>
      <c r="N398" t="n" s="7">
        <v>44085.0</v>
      </c>
      <c r="O398" t="n" s="7">
        <v>44196.0</v>
      </c>
      <c r="P398" t="s" s="1">
        <v>3499</v>
      </c>
    </row>
    <row r="399" spans="1:16">
      <c r="A399" t="n" s="4">
        <v>394</v>
      </c>
      <c r="B399" s="2">
        <f>HYPERLINK("https://my.zakupki.prom.ua/remote/dispatcher/state_purchase_view/17885802", "UA-2020-07-15-002535-c")</f>
        <v/>
      </c>
      <c r="C399" t="s" s="2">
        <v>3245</v>
      </c>
      <c r="D399" s="2">
        <f>HYPERLINK("https://my.zakupki.prom.ua/remote/dispatcher/state_contracting_view/4832395", "UA-2020-07-15-002535-c-c1")</f>
        <v/>
      </c>
      <c r="E399" t="s" s="1">
        <v>1569</v>
      </c>
      <c r="F399" t="s" s="1">
        <v>2547</v>
      </c>
      <c r="G399" t="s" s="1">
        <v>2547</v>
      </c>
      <c r="H399" t="s" s="1">
        <v>209</v>
      </c>
      <c r="I399" t="s" s="1">
        <v>2361</v>
      </c>
      <c r="J399" t="s" s="1">
        <v>3467</v>
      </c>
      <c r="K399" t="s" s="1">
        <v>766</v>
      </c>
      <c r="L399" t="s" s="1">
        <v>662</v>
      </c>
      <c r="M399" t="n" s="5">
        <v>2397.0</v>
      </c>
      <c r="N399" t="n" s="7">
        <v>44026.0</v>
      </c>
      <c r="O399" t="n" s="7">
        <v>44196.0</v>
      </c>
      <c r="P399" t="s" s="1">
        <v>3499</v>
      </c>
    </row>
    <row r="400" spans="1:16">
      <c r="A400" t="n" s="4">
        <v>395</v>
      </c>
      <c r="B400" s="2">
        <f>HYPERLINK("https://my.zakupki.prom.ua/remote/dispatcher/state_purchase_view/17691252", "UA-2020-07-07-001158-a")</f>
        <v/>
      </c>
      <c r="C400" t="s" s="2">
        <v>3245</v>
      </c>
      <c r="D400" s="2">
        <f>HYPERLINK("https://my.zakupki.prom.ua/remote/dispatcher/state_contracting_view/4741799", "UA-2020-07-07-001158-a-a1")</f>
        <v/>
      </c>
      <c r="E400" t="s" s="1">
        <v>1408</v>
      </c>
      <c r="F400" t="s" s="1">
        <v>2839</v>
      </c>
      <c r="G400" t="s" s="1">
        <v>2839</v>
      </c>
      <c r="H400" t="s" s="1">
        <v>703</v>
      </c>
      <c r="I400" t="s" s="1">
        <v>2361</v>
      </c>
      <c r="J400" t="s" s="1">
        <v>3392</v>
      </c>
      <c r="K400" t="s" s="1">
        <v>428</v>
      </c>
      <c r="L400" t="s" s="1">
        <v>509</v>
      </c>
      <c r="M400" t="n" s="5">
        <v>2187.9</v>
      </c>
      <c r="N400" t="n" s="7">
        <v>44018.0</v>
      </c>
      <c r="O400" t="n" s="7">
        <v>44196.0</v>
      </c>
      <c r="P400" t="s" s="1">
        <v>3499</v>
      </c>
    </row>
    <row r="401" spans="1:16">
      <c r="A401" t="n" s="4">
        <v>396</v>
      </c>
      <c r="B401" s="2">
        <f>HYPERLINK("https://my.zakupki.prom.ua/remote/dispatcher/state_purchase_view/17762332", "UA-2020-07-09-003393-c")</f>
        <v/>
      </c>
      <c r="C401" t="s" s="2">
        <v>3245</v>
      </c>
      <c r="D401" s="2">
        <f>HYPERLINK("https://my.zakupki.prom.ua/remote/dispatcher/state_contracting_view/4775199", "UA-2020-07-09-003393-c-c1")</f>
        <v/>
      </c>
      <c r="E401" t="s" s="1">
        <v>935</v>
      </c>
      <c r="F401" t="s" s="1">
        <v>2503</v>
      </c>
      <c r="G401" t="s" s="1">
        <v>2503</v>
      </c>
      <c r="H401" t="s" s="1">
        <v>1614</v>
      </c>
      <c r="I401" t="s" s="1">
        <v>2361</v>
      </c>
      <c r="J401" t="s" s="1">
        <v>2319</v>
      </c>
      <c r="K401" t="s" s="1">
        <v>359</v>
      </c>
      <c r="L401" t="s" s="1">
        <v>553</v>
      </c>
      <c r="M401" t="n" s="5">
        <v>670.62</v>
      </c>
      <c r="N401" t="n" s="7">
        <v>44019.0</v>
      </c>
      <c r="O401" t="n" s="7">
        <v>44196.0</v>
      </c>
      <c r="P401" t="s" s="1">
        <v>3499</v>
      </c>
    </row>
    <row r="402" spans="1:16">
      <c r="A402" t="n" s="4">
        <v>397</v>
      </c>
      <c r="B402" s="2">
        <f>HYPERLINK("https://my.zakupki.prom.ua/remote/dispatcher/state_purchase_view/18131561", "UA-2020-07-27-002490-c")</f>
        <v/>
      </c>
      <c r="C402" t="s" s="2">
        <v>3245</v>
      </c>
      <c r="D402" s="2">
        <f>HYPERLINK("https://my.zakupki.prom.ua/remote/dispatcher/state_contracting_view/4947558", "UA-2020-07-27-002490-c-c1")</f>
        <v/>
      </c>
      <c r="E402" t="s" s="1">
        <v>43</v>
      </c>
      <c r="F402" t="s" s="1">
        <v>2680</v>
      </c>
      <c r="G402" t="s" s="1">
        <v>2680</v>
      </c>
      <c r="H402" t="s" s="1">
        <v>456</v>
      </c>
      <c r="I402" t="s" s="1">
        <v>2361</v>
      </c>
      <c r="J402" t="s" s="1">
        <v>2292</v>
      </c>
      <c r="K402" t="s" s="1">
        <v>545</v>
      </c>
      <c r="L402" t="s" s="1">
        <v>826</v>
      </c>
      <c r="M402" t="n" s="5">
        <v>5520.0</v>
      </c>
      <c r="N402" t="n" s="7">
        <v>44039.0</v>
      </c>
      <c r="O402" t="n" s="7">
        <v>44196.0</v>
      </c>
      <c r="P402" t="s" s="1">
        <v>3499</v>
      </c>
    </row>
    <row r="403" spans="1:16">
      <c r="A403" t="n" s="4">
        <v>398</v>
      </c>
      <c r="B403" s="2">
        <f>HYPERLINK("https://my.zakupki.prom.ua/remote/dispatcher/state_purchase_view/18200723", "UA-2020-07-29-007769-c")</f>
        <v/>
      </c>
      <c r="C403" t="s" s="2">
        <v>3245</v>
      </c>
      <c r="D403" s="2">
        <f>HYPERLINK("https://my.zakupki.prom.ua/remote/dispatcher/state_contracting_view/4980106", "UA-2020-07-29-007769-c-c1")</f>
        <v/>
      </c>
      <c r="E403" t="s" s="1">
        <v>1117</v>
      </c>
      <c r="F403" t="s" s="1">
        <v>2627</v>
      </c>
      <c r="G403" t="s" s="1">
        <v>2627</v>
      </c>
      <c r="H403" t="s" s="1">
        <v>225</v>
      </c>
      <c r="I403" t="s" s="1">
        <v>2361</v>
      </c>
      <c r="J403" t="s" s="1">
        <v>3467</v>
      </c>
      <c r="K403" t="s" s="1">
        <v>766</v>
      </c>
      <c r="L403" t="s" s="1">
        <v>859</v>
      </c>
      <c r="M403" t="n" s="5">
        <v>3827.5</v>
      </c>
      <c r="N403" t="n" s="7">
        <v>44040.0</v>
      </c>
      <c r="O403" t="n" s="7">
        <v>44196.0</v>
      </c>
      <c r="P403" t="s" s="1">
        <v>3499</v>
      </c>
    </row>
    <row r="404" spans="1:16">
      <c r="A404" t="n" s="4">
        <v>399</v>
      </c>
      <c r="B404" s="2">
        <f>HYPERLINK("https://my.zakupki.prom.ua/remote/dispatcher/state_purchase_view/18203296", "UA-2020-07-29-008617-c")</f>
        <v/>
      </c>
      <c r="C404" t="s" s="2">
        <v>3245</v>
      </c>
      <c r="D404" s="2">
        <f>HYPERLINK("https://my.zakupki.prom.ua/remote/dispatcher/state_contracting_view/4981402", "UA-2020-07-29-008617-c-c1")</f>
        <v/>
      </c>
      <c r="E404" t="s" s="1">
        <v>1589</v>
      </c>
      <c r="F404" t="s" s="1">
        <v>2504</v>
      </c>
      <c r="G404" t="s" s="1">
        <v>2504</v>
      </c>
      <c r="H404" t="s" s="1">
        <v>38</v>
      </c>
      <c r="I404" t="s" s="1">
        <v>2361</v>
      </c>
      <c r="J404" t="s" s="1">
        <v>3467</v>
      </c>
      <c r="K404" t="s" s="1">
        <v>766</v>
      </c>
      <c r="L404" t="s" s="1">
        <v>877</v>
      </c>
      <c r="M404" t="n" s="5">
        <v>630.0</v>
      </c>
      <c r="N404" t="n" s="7">
        <v>44040.0</v>
      </c>
      <c r="O404" t="n" s="7">
        <v>44196.0</v>
      </c>
      <c r="P404" t="s" s="1">
        <v>3499</v>
      </c>
    </row>
    <row r="405" spans="1:16">
      <c r="A405" t="n" s="4">
        <v>400</v>
      </c>
      <c r="B405" s="2">
        <f>HYPERLINK("https://my.zakupki.prom.ua/remote/dispatcher/state_purchase_view/18183969", "UA-2020-07-29-001841-c")</f>
        <v/>
      </c>
      <c r="C405" t="s" s="2">
        <v>3245</v>
      </c>
      <c r="D405" s="2">
        <f>HYPERLINK("https://my.zakupki.prom.ua/remote/dispatcher/state_contracting_view/4972445", "UA-2020-07-29-001841-c-c1")</f>
        <v/>
      </c>
      <c r="E405" t="s" s="1">
        <v>1899</v>
      </c>
      <c r="F405" t="s" s="1">
        <v>2847</v>
      </c>
      <c r="G405" t="s" s="1">
        <v>2847</v>
      </c>
      <c r="H405" t="s" s="1">
        <v>718</v>
      </c>
      <c r="I405" t="s" s="1">
        <v>2361</v>
      </c>
      <c r="J405" t="s" s="1">
        <v>3392</v>
      </c>
      <c r="K405" t="s" s="1">
        <v>428</v>
      </c>
      <c r="L405" t="s" s="1">
        <v>841</v>
      </c>
      <c r="M405" t="n" s="5">
        <v>2119.11</v>
      </c>
      <c r="N405" t="n" s="7">
        <v>44040.0</v>
      </c>
      <c r="O405" t="n" s="7">
        <v>44196.0</v>
      </c>
      <c r="P405" t="s" s="1">
        <v>3499</v>
      </c>
    </row>
    <row r="406" spans="1:16">
      <c r="A406" t="n" s="4">
        <v>401</v>
      </c>
      <c r="B406" s="2">
        <f>HYPERLINK("https://my.zakupki.prom.ua/remote/dispatcher/state_purchase_view/17095833", "UA-2020-06-05-007398-b")</f>
        <v/>
      </c>
      <c r="C406" t="s" s="2">
        <v>3245</v>
      </c>
      <c r="D406" s="2">
        <f>HYPERLINK("https://my.zakupki.prom.ua/remote/dispatcher/state_contracting_view/4466877", "UA-2020-06-05-007398-b-b1")</f>
        <v/>
      </c>
      <c r="E406" t="s" s="1">
        <v>2122</v>
      </c>
      <c r="F406" t="s" s="1">
        <v>2431</v>
      </c>
      <c r="G406" t="s" s="1">
        <v>3241</v>
      </c>
      <c r="H406" t="s" s="1">
        <v>700</v>
      </c>
      <c r="I406" t="s" s="1">
        <v>2361</v>
      </c>
      <c r="J406" t="s" s="1">
        <v>3252</v>
      </c>
      <c r="K406" t="s" s="1">
        <v>513</v>
      </c>
      <c r="L406" t="s" s="1">
        <v>252</v>
      </c>
      <c r="M406" t="n" s="5">
        <v>73800.0</v>
      </c>
      <c r="N406" t="n" s="7">
        <v>43987.0</v>
      </c>
      <c r="O406" t="n" s="7">
        <v>44196.0</v>
      </c>
      <c r="P406" t="s" s="1">
        <v>3499</v>
      </c>
    </row>
    <row r="407" spans="1:16">
      <c r="A407" t="n" s="4">
        <v>402</v>
      </c>
      <c r="B407" s="2">
        <f>HYPERLINK("https://my.zakupki.prom.ua/remote/dispatcher/state_purchase_view/16303711", "UA-2020-04-15-006163-b")</f>
        <v/>
      </c>
      <c r="C407" t="s" s="2">
        <v>3245</v>
      </c>
      <c r="D407" s="2">
        <f>HYPERLINK("https://my.zakupki.prom.ua/remote/dispatcher/state_contracting_view/4124681", "UA-2020-04-15-006163-b-b1")</f>
        <v/>
      </c>
      <c r="E407" t="s" s="1">
        <v>715</v>
      </c>
      <c r="F407" t="s" s="1">
        <v>596</v>
      </c>
      <c r="G407" t="s" s="1">
        <v>596</v>
      </c>
      <c r="H407" t="s" s="1">
        <v>596</v>
      </c>
      <c r="I407" t="s" s="1">
        <v>2361</v>
      </c>
      <c r="J407" t="s" s="1">
        <v>2316</v>
      </c>
      <c r="K407" t="s" s="1">
        <v>768</v>
      </c>
      <c r="L407" t="s" s="1">
        <v>149</v>
      </c>
      <c r="M407" t="n" s="5">
        <v>1115.0</v>
      </c>
      <c r="N407" t="n" s="7">
        <v>43936.0</v>
      </c>
      <c r="O407" t="n" s="7">
        <v>44196.0</v>
      </c>
      <c r="P407" t="s" s="1">
        <v>3499</v>
      </c>
    </row>
    <row r="408" spans="1:16">
      <c r="A408" t="n" s="4">
        <v>403</v>
      </c>
      <c r="B408" s="2">
        <f>HYPERLINK("https://my.zakupki.prom.ua/remote/dispatcher/state_purchase_view/16057765", "UA-2020-04-01-000777-b")</f>
        <v/>
      </c>
      <c r="C408" t="s" s="2">
        <v>3245</v>
      </c>
      <c r="D408" s="2">
        <f>HYPERLINK("https://my.zakupki.prom.ua/remote/dispatcher/state_contracting_view/4034569", "UA-2020-04-01-000777-b-b1")</f>
        <v/>
      </c>
      <c r="E408" t="s" s="1">
        <v>2223</v>
      </c>
      <c r="F408" t="s" s="1">
        <v>2289</v>
      </c>
      <c r="G408" t="s" s="1">
        <v>2289</v>
      </c>
      <c r="H408" t="s" s="1">
        <v>976</v>
      </c>
      <c r="I408" t="s" s="1">
        <v>2361</v>
      </c>
      <c r="J408" t="s" s="1">
        <v>3386</v>
      </c>
      <c r="K408" t="s" s="1">
        <v>721</v>
      </c>
      <c r="L408" t="s" s="1">
        <v>1620</v>
      </c>
      <c r="M408" t="n" s="5">
        <v>30000.0</v>
      </c>
      <c r="N408" t="n" s="7">
        <v>43921.0</v>
      </c>
      <c r="O408" t="n" s="7">
        <v>44196.0</v>
      </c>
      <c r="P408" t="s" s="1">
        <v>3499</v>
      </c>
    </row>
    <row r="409" spans="1:16">
      <c r="A409" t="n" s="4">
        <v>404</v>
      </c>
      <c r="B409" s="2">
        <f>HYPERLINK("https://my.zakupki.prom.ua/remote/dispatcher/state_purchase_view/19793521", "UA-2020-10-02-007750-a")</f>
        <v/>
      </c>
      <c r="C409" t="s" s="2">
        <v>3245</v>
      </c>
      <c r="D409" s="2">
        <f>HYPERLINK("https://my.zakupki.prom.ua/remote/dispatcher/state_contracting_view/5731057", "UA-2020-10-02-007750-a-a1")</f>
        <v/>
      </c>
      <c r="E409" t="s" s="1">
        <v>2026</v>
      </c>
      <c r="F409" t="s" s="1">
        <v>2608</v>
      </c>
      <c r="G409" t="s" s="1">
        <v>2608</v>
      </c>
      <c r="H409" t="s" s="1">
        <v>225</v>
      </c>
      <c r="I409" t="s" s="1">
        <v>2361</v>
      </c>
      <c r="J409" t="s" s="1">
        <v>3467</v>
      </c>
      <c r="K409" t="s" s="1">
        <v>766</v>
      </c>
      <c r="L409" t="s" s="1">
        <v>1421</v>
      </c>
      <c r="M409" t="n" s="5">
        <v>1397.5</v>
      </c>
      <c r="N409" t="n" s="7">
        <v>44106.0</v>
      </c>
      <c r="O409" t="n" s="7">
        <v>44196.0</v>
      </c>
      <c r="P409" t="s" s="1">
        <v>3499</v>
      </c>
    </row>
    <row r="410" spans="1:16">
      <c r="A410" t="n" s="4">
        <v>405</v>
      </c>
      <c r="B410" s="2">
        <f>HYPERLINK("https://my.zakupki.prom.ua/remote/dispatcher/state_purchase_view/19754245", "UA-2020-10-01-006392-a")</f>
        <v/>
      </c>
      <c r="C410" t="s" s="2">
        <v>3245</v>
      </c>
      <c r="D410" s="2">
        <f>HYPERLINK("https://my.zakupki.prom.ua/remote/dispatcher/state_contracting_view/5714852", "UA-2020-10-01-006392-a-a1")</f>
        <v/>
      </c>
      <c r="E410" t="s" s="1">
        <v>1109</v>
      </c>
      <c r="F410" t="s" s="1">
        <v>2828</v>
      </c>
      <c r="G410" t="s" s="1">
        <v>2828</v>
      </c>
      <c r="H410" t="s" s="1">
        <v>703</v>
      </c>
      <c r="I410" t="s" s="1">
        <v>2361</v>
      </c>
      <c r="J410" t="s" s="1">
        <v>3462</v>
      </c>
      <c r="K410" t="s" s="1">
        <v>792</v>
      </c>
      <c r="L410" t="s" s="1">
        <v>1417</v>
      </c>
      <c r="M410" t="n" s="5">
        <v>133972.0</v>
      </c>
      <c r="N410" t="n" s="7">
        <v>44105.0</v>
      </c>
      <c r="O410" t="n" s="7">
        <v>44196.0</v>
      </c>
      <c r="P410" t="s" s="1">
        <v>3499</v>
      </c>
    </row>
    <row r="411" spans="1:16">
      <c r="A411" t="n" s="4">
        <v>406</v>
      </c>
      <c r="B411" s="2">
        <f>HYPERLINK("https://my.zakupki.prom.ua/remote/dispatcher/state_purchase_view/19753841", "UA-2020-10-01-006242-a")</f>
        <v/>
      </c>
      <c r="C411" t="s" s="2">
        <v>3245</v>
      </c>
      <c r="D411" s="2">
        <f>HYPERLINK("https://my.zakupki.prom.ua/remote/dispatcher/state_contracting_view/5715243", "UA-2020-10-01-006242-a-a1")</f>
        <v/>
      </c>
      <c r="E411" t="s" s="1">
        <v>1597</v>
      </c>
      <c r="F411" t="s" s="1">
        <v>3097</v>
      </c>
      <c r="G411" t="s" s="1">
        <v>3097</v>
      </c>
      <c r="H411" t="s" s="1">
        <v>1144</v>
      </c>
      <c r="I411" t="s" s="1">
        <v>2361</v>
      </c>
      <c r="J411" t="s" s="1">
        <v>3220</v>
      </c>
      <c r="K411" t="s" s="1">
        <v>588</v>
      </c>
      <c r="L411" t="s" s="1">
        <v>1415</v>
      </c>
      <c r="M411" t="n" s="5">
        <v>720.0</v>
      </c>
      <c r="N411" t="n" s="7">
        <v>44105.0</v>
      </c>
      <c r="O411" t="n" s="7">
        <v>44196.0</v>
      </c>
      <c r="P411" t="s" s="1">
        <v>3499</v>
      </c>
    </row>
    <row r="412" spans="1:16">
      <c r="A412" t="n" s="4">
        <v>407</v>
      </c>
      <c r="B412" s="2">
        <f>HYPERLINK("https://my.zakupki.prom.ua/remote/dispatcher/state_purchase_view/19663012", "UA-2020-09-28-007829-a")</f>
        <v/>
      </c>
      <c r="C412" t="s" s="2">
        <v>3245</v>
      </c>
      <c r="D412" s="2">
        <f>HYPERLINK("https://my.zakupki.prom.ua/remote/dispatcher/state_contracting_view/5670433", "UA-2020-09-28-007829-a-a1")</f>
        <v/>
      </c>
      <c r="E412" t="s" s="1">
        <v>1409</v>
      </c>
      <c r="F412" t="s" s="1">
        <v>2978</v>
      </c>
      <c r="G412" t="s" s="1">
        <v>3527</v>
      </c>
      <c r="H412" t="s" s="1">
        <v>830</v>
      </c>
      <c r="I412" t="s" s="1">
        <v>2361</v>
      </c>
      <c r="J412" t="s" s="1">
        <v>2356</v>
      </c>
      <c r="K412" t="s" s="1">
        <v>424</v>
      </c>
      <c r="L412" t="s" s="1">
        <v>1384</v>
      </c>
      <c r="M412" t="n" s="5">
        <v>62800.0</v>
      </c>
      <c r="N412" t="n" s="7">
        <v>44098.0</v>
      </c>
      <c r="O412" t="n" s="7">
        <v>44196.0</v>
      </c>
      <c r="P412" t="s" s="1">
        <v>3499</v>
      </c>
    </row>
    <row r="413" spans="1:16">
      <c r="A413" t="n" s="4">
        <v>408</v>
      </c>
      <c r="B413" s="2">
        <f>HYPERLINK("https://my.zakupki.prom.ua/remote/dispatcher/state_purchase_view/19636312", "UA-2020-09-28-000563-a")</f>
        <v/>
      </c>
      <c r="C413" t="s" s="2">
        <v>3245</v>
      </c>
      <c r="D413" s="2">
        <f>HYPERLINK("https://my.zakupki.prom.ua/remote/dispatcher/state_contracting_view/5657566", "UA-2020-09-28-000563-a-a1")</f>
        <v/>
      </c>
      <c r="E413" t="s" s="1">
        <v>1769</v>
      </c>
      <c r="F413" t="s" s="1">
        <v>2556</v>
      </c>
      <c r="G413" t="s" s="1">
        <v>2556</v>
      </c>
      <c r="H413" t="s" s="1">
        <v>213</v>
      </c>
      <c r="I413" t="s" s="1">
        <v>2361</v>
      </c>
      <c r="J413" t="s" s="1">
        <v>3467</v>
      </c>
      <c r="K413" t="s" s="1">
        <v>766</v>
      </c>
      <c r="L413" t="s" s="1">
        <v>1387</v>
      </c>
      <c r="M413" t="n" s="5">
        <v>265.0</v>
      </c>
      <c r="N413" t="n" s="7">
        <v>44099.0</v>
      </c>
      <c r="O413" t="n" s="7">
        <v>44196.0</v>
      </c>
      <c r="P413" t="s" s="1">
        <v>3499</v>
      </c>
    </row>
    <row r="414" spans="1:16">
      <c r="A414" t="n" s="4">
        <v>409</v>
      </c>
      <c r="B414" s="2">
        <f>HYPERLINK("https://my.zakupki.prom.ua/remote/dispatcher/state_purchase_view/19835354", "UA-2020-10-05-009057-a")</f>
        <v/>
      </c>
      <c r="C414" t="s" s="2">
        <v>3245</v>
      </c>
      <c r="D414" s="2">
        <f>HYPERLINK("https://my.zakupki.prom.ua/remote/dispatcher/state_contracting_view/5750550", "UA-2020-10-05-009057-a-a1")</f>
        <v/>
      </c>
      <c r="E414" t="s" s="1">
        <v>1564</v>
      </c>
      <c r="F414" t="s" s="1">
        <v>2921</v>
      </c>
      <c r="G414" t="s" s="1">
        <v>3556</v>
      </c>
      <c r="H414" t="s" s="1">
        <v>718</v>
      </c>
      <c r="I414" t="s" s="1">
        <v>2361</v>
      </c>
      <c r="J414" t="s" s="1">
        <v>3392</v>
      </c>
      <c r="K414" t="s" s="1">
        <v>428</v>
      </c>
      <c r="L414" t="s" s="1">
        <v>1427</v>
      </c>
      <c r="M414" t="n" s="5">
        <v>561085.67</v>
      </c>
      <c r="N414" t="n" s="7">
        <v>44109.0</v>
      </c>
      <c r="O414" t="n" s="7">
        <v>44196.0</v>
      </c>
      <c r="P414" t="s" s="1">
        <v>3499</v>
      </c>
    </row>
    <row r="415" spans="1:16">
      <c r="A415" t="n" s="4">
        <v>410</v>
      </c>
      <c r="B415" s="2">
        <f>HYPERLINK("https://my.zakupki.prom.ua/remote/dispatcher/state_purchase_view/20583871", "UA-2020-10-29-003053-c")</f>
        <v/>
      </c>
      <c r="C415" t="s" s="2">
        <v>3245</v>
      </c>
      <c r="D415" s="2">
        <f>HYPERLINK("https://my.zakupki.prom.ua/remote/dispatcher/state_contracting_view/6110912", "UA-2020-10-29-003053-c-c1")</f>
        <v/>
      </c>
      <c r="E415" t="s" s="1">
        <v>571</v>
      </c>
      <c r="F415" t="s" s="1">
        <v>3083</v>
      </c>
      <c r="G415" t="s" s="1">
        <v>3083</v>
      </c>
      <c r="H415" t="s" s="1">
        <v>1032</v>
      </c>
      <c r="I415" t="s" s="1">
        <v>2361</v>
      </c>
      <c r="J415" t="s" s="1">
        <v>3251</v>
      </c>
      <c r="K415" t="s" s="1">
        <v>486</v>
      </c>
      <c r="L415" t="s" s="1">
        <v>3261</v>
      </c>
      <c r="M415" t="n" s="5">
        <v>357.65</v>
      </c>
      <c r="N415" t="n" s="7">
        <v>44133.0</v>
      </c>
      <c r="O415" t="n" s="7">
        <v>44196.0</v>
      </c>
      <c r="P415" t="s" s="1">
        <v>3499</v>
      </c>
    </row>
    <row r="416" spans="1:16">
      <c r="A416" t="n" s="4">
        <v>411</v>
      </c>
      <c r="B416" s="2">
        <f>HYPERLINK("https://my.zakupki.prom.ua/remote/dispatcher/state_purchase_view/20582876", "UA-2020-10-29-002833-c")</f>
        <v/>
      </c>
      <c r="C416" t="s" s="2">
        <v>3245</v>
      </c>
      <c r="D416" s="2">
        <f>HYPERLINK("https://my.zakupki.prom.ua/remote/dispatcher/state_contracting_view/6110528", "UA-2020-10-29-002833-c-c1")</f>
        <v/>
      </c>
      <c r="E416" t="s" s="1">
        <v>1730</v>
      </c>
      <c r="F416" t="s" s="1">
        <v>3073</v>
      </c>
      <c r="G416" t="s" s="1">
        <v>3073</v>
      </c>
      <c r="H416" t="s" s="1">
        <v>1024</v>
      </c>
      <c r="I416" t="s" s="1">
        <v>2361</v>
      </c>
      <c r="J416" t="s" s="1">
        <v>3251</v>
      </c>
      <c r="K416" t="s" s="1">
        <v>486</v>
      </c>
      <c r="L416" t="s" s="1">
        <v>3260</v>
      </c>
      <c r="M416" t="n" s="5">
        <v>569.25</v>
      </c>
      <c r="N416" t="n" s="7">
        <v>44133.0</v>
      </c>
      <c r="O416" t="n" s="7">
        <v>44196.0</v>
      </c>
      <c r="P416" t="s" s="1">
        <v>3499</v>
      </c>
    </row>
    <row r="417" spans="1:16">
      <c r="A417" t="n" s="4">
        <v>412</v>
      </c>
      <c r="B417" s="2">
        <f>HYPERLINK("https://my.zakupki.prom.ua/remote/dispatcher/state_purchase_view/20582406", "UA-2020-10-29-002699-c")</f>
        <v/>
      </c>
      <c r="C417" t="s" s="2">
        <v>3245</v>
      </c>
      <c r="D417" s="2">
        <f>HYPERLINK("https://my.zakupki.prom.ua/remote/dispatcher/state_contracting_view/6119294", "UA-2020-10-29-002699-c-c1")</f>
        <v/>
      </c>
      <c r="E417" t="s" s="1">
        <v>824</v>
      </c>
      <c r="F417" t="s" s="1">
        <v>3058</v>
      </c>
      <c r="G417" t="s" s="1">
        <v>3058</v>
      </c>
      <c r="H417" t="s" s="1">
        <v>1016</v>
      </c>
      <c r="I417" t="s" s="1">
        <v>2361</v>
      </c>
      <c r="J417" t="s" s="1">
        <v>3251</v>
      </c>
      <c r="K417" t="s" s="1">
        <v>486</v>
      </c>
      <c r="L417" t="s" s="1">
        <v>3295</v>
      </c>
      <c r="M417" t="n" s="5">
        <v>9905.65</v>
      </c>
      <c r="N417" t="n" s="7">
        <v>44133.0</v>
      </c>
      <c r="O417" t="n" s="7">
        <v>44196.0</v>
      </c>
      <c r="P417" t="s" s="1">
        <v>3499</v>
      </c>
    </row>
    <row r="418" spans="1:16">
      <c r="A418" t="n" s="4">
        <v>413</v>
      </c>
      <c r="B418" s="2">
        <f>HYPERLINK("https://my.zakupki.prom.ua/remote/dispatcher/state_purchase_view/20888359", "UA-2020-11-09-005137-c")</f>
        <v/>
      </c>
      <c r="C418" t="s" s="2">
        <v>3245</v>
      </c>
      <c r="D418" s="2">
        <f>HYPERLINK("https://my.zakupki.prom.ua/remote/dispatcher/state_contracting_view/6254875", "UA-2020-11-09-005137-c-c1")</f>
        <v/>
      </c>
      <c r="E418" t="s" s="1">
        <v>1241</v>
      </c>
      <c r="F418" t="s" s="1">
        <v>2737</v>
      </c>
      <c r="G418" t="s" s="1">
        <v>3528</v>
      </c>
      <c r="H418" t="s" s="1">
        <v>688</v>
      </c>
      <c r="I418" t="s" s="1">
        <v>2361</v>
      </c>
      <c r="J418" t="s" s="1">
        <v>2356</v>
      </c>
      <c r="K418" t="s" s="1">
        <v>424</v>
      </c>
      <c r="L418" t="s" s="1">
        <v>1666</v>
      </c>
      <c r="M418" t="n" s="5">
        <v>62800.0</v>
      </c>
      <c r="N418" t="n" s="7">
        <v>44144.0</v>
      </c>
      <c r="O418" t="n" s="7">
        <v>44196.0</v>
      </c>
      <c r="P418" t="s" s="1">
        <v>3499</v>
      </c>
    </row>
    <row r="419" spans="1:16">
      <c r="A419" t="n" s="4">
        <v>414</v>
      </c>
      <c r="B419" s="2">
        <f>HYPERLINK("https://my.zakupki.prom.ua/remote/dispatcher/state_purchase_view/20882313", "UA-2020-11-09-003104-c")</f>
        <v/>
      </c>
      <c r="C419" t="s" s="2">
        <v>3245</v>
      </c>
      <c r="D419" s="2">
        <f>HYPERLINK("https://my.zakupki.prom.ua/remote/dispatcher/state_contracting_view/6252333", "UA-2020-11-09-003104-c-c1")</f>
        <v/>
      </c>
      <c r="E419" t="s" s="1">
        <v>563</v>
      </c>
      <c r="F419" t="s" s="1">
        <v>2720</v>
      </c>
      <c r="G419" t="s" s="1">
        <v>2720</v>
      </c>
      <c r="H419" t="s" s="1">
        <v>637</v>
      </c>
      <c r="I419" t="s" s="1">
        <v>2361</v>
      </c>
      <c r="J419" t="s" s="1">
        <v>3251</v>
      </c>
      <c r="K419" t="s" s="1">
        <v>486</v>
      </c>
      <c r="L419" t="s" s="1">
        <v>3288</v>
      </c>
      <c r="M419" t="n" s="5">
        <v>55.2</v>
      </c>
      <c r="N419" t="n" s="7">
        <v>44144.0</v>
      </c>
      <c r="O419" t="n" s="7">
        <v>44196.0</v>
      </c>
      <c r="P419" t="s" s="1">
        <v>3499</v>
      </c>
    </row>
    <row r="420" spans="1:16">
      <c r="A420" t="n" s="4">
        <v>415</v>
      </c>
      <c r="B420" s="2">
        <f>HYPERLINK("https://my.zakupki.prom.ua/remote/dispatcher/state_purchase_view/20979300", "UA-2020-11-11-008421-a")</f>
        <v/>
      </c>
      <c r="C420" t="s" s="2">
        <v>3245</v>
      </c>
      <c r="D420" s="2">
        <f>HYPERLINK("https://my.zakupki.prom.ua/remote/dispatcher/state_contracting_view/6298434", "UA-2020-11-11-008421-a-a1")</f>
        <v/>
      </c>
      <c r="E420" t="s" s="1">
        <v>783</v>
      </c>
      <c r="F420" t="s" s="1">
        <v>2999</v>
      </c>
      <c r="G420" t="s" s="1">
        <v>2999</v>
      </c>
      <c r="H420" t="s" s="1">
        <v>848</v>
      </c>
      <c r="I420" t="s" s="1">
        <v>2361</v>
      </c>
      <c r="J420" t="s" s="1">
        <v>3467</v>
      </c>
      <c r="K420" t="s" s="1">
        <v>766</v>
      </c>
      <c r="L420" t="s" s="1">
        <v>1675</v>
      </c>
      <c r="M420" t="n" s="5">
        <v>1103.35</v>
      </c>
      <c r="N420" t="n" s="7">
        <v>44146.0</v>
      </c>
      <c r="O420" t="n" s="7">
        <v>44196.0</v>
      </c>
      <c r="P420" t="s" s="1">
        <v>3499</v>
      </c>
    </row>
    <row r="421" spans="1:16">
      <c r="A421" t="n" s="4">
        <v>416</v>
      </c>
      <c r="B421" s="2">
        <f>HYPERLINK("https://my.zakupki.prom.ua/remote/dispatcher/state_purchase_view/20982819", "UA-2020-11-11-009347-a")</f>
        <v/>
      </c>
      <c r="C421" t="s" s="2">
        <v>3245</v>
      </c>
      <c r="D421" s="2">
        <f>HYPERLINK("https://my.zakupki.prom.ua/remote/dispatcher/state_contracting_view/6299850", "UA-2020-11-11-009347-a-a1")</f>
        <v/>
      </c>
      <c r="E421" t="s" s="1">
        <v>2164</v>
      </c>
      <c r="F421" t="s" s="1">
        <v>2715</v>
      </c>
      <c r="G421" t="s" s="1">
        <v>2715</v>
      </c>
      <c r="H421" t="s" s="1">
        <v>636</v>
      </c>
      <c r="I421" t="s" s="1">
        <v>2361</v>
      </c>
      <c r="J421" t="s" s="1">
        <v>3467</v>
      </c>
      <c r="K421" t="s" s="1">
        <v>766</v>
      </c>
      <c r="L421" t="s" s="1">
        <v>1683</v>
      </c>
      <c r="M421" t="n" s="5">
        <v>2340.0</v>
      </c>
      <c r="N421" t="n" s="7">
        <v>44146.0</v>
      </c>
      <c r="O421" t="n" s="7">
        <v>44196.0</v>
      </c>
      <c r="P421" t="s" s="1">
        <v>3499</v>
      </c>
    </row>
    <row r="422" spans="1:16">
      <c r="A422" t="n" s="4">
        <v>417</v>
      </c>
      <c r="B422" s="2">
        <f>HYPERLINK("https://my.zakupki.prom.ua/remote/dispatcher/state_purchase_view/20726687", "UA-2020-11-04-000546-c")</f>
        <v/>
      </c>
      <c r="C422" t="s" s="2">
        <v>3245</v>
      </c>
      <c r="D422" s="2">
        <f>HYPERLINK("https://my.zakupki.prom.ua/remote/dispatcher/state_contracting_view/6177889", "UA-2020-11-04-000546-c-c1")</f>
        <v/>
      </c>
      <c r="E422" t="s" s="1">
        <v>1598</v>
      </c>
      <c r="F422" t="s" s="1">
        <v>2901</v>
      </c>
      <c r="G422" t="s" s="1">
        <v>3530</v>
      </c>
      <c r="H422" t="s" s="1">
        <v>718</v>
      </c>
      <c r="I422" t="s" s="1">
        <v>2361</v>
      </c>
      <c r="J422" t="s" s="1">
        <v>3392</v>
      </c>
      <c r="K422" t="s" s="1">
        <v>428</v>
      </c>
      <c r="L422" t="s" s="1">
        <v>1622</v>
      </c>
      <c r="M422" t="n" s="5">
        <v>24066.92</v>
      </c>
      <c r="N422" t="n" s="7">
        <v>44139.0</v>
      </c>
      <c r="O422" t="n" s="7">
        <v>44196.0</v>
      </c>
      <c r="P422" t="s" s="1">
        <v>3499</v>
      </c>
    </row>
    <row r="423" spans="1:16">
      <c r="A423" t="n" s="4">
        <v>418</v>
      </c>
      <c r="B423" s="2">
        <f>HYPERLINK("https://my.zakupki.prom.ua/remote/dispatcher/state_purchase_view/19508564", "UA-2020-09-23-000538-b")</f>
        <v/>
      </c>
      <c r="C423" t="s" s="2">
        <v>3245</v>
      </c>
      <c r="D423" s="2">
        <f>HYPERLINK("https://my.zakupki.prom.ua/remote/dispatcher/state_contracting_view/5596747", "UA-2020-09-23-000538-b-b1")</f>
        <v/>
      </c>
      <c r="E423" t="s" s="1">
        <v>1076</v>
      </c>
      <c r="F423" t="s" s="1">
        <v>2556</v>
      </c>
      <c r="G423" t="s" s="1">
        <v>2556</v>
      </c>
      <c r="H423" t="s" s="1">
        <v>213</v>
      </c>
      <c r="I423" t="s" s="1">
        <v>2361</v>
      </c>
      <c r="J423" t="s" s="1">
        <v>3467</v>
      </c>
      <c r="K423" t="s" s="1">
        <v>766</v>
      </c>
      <c r="L423" t="s" s="1">
        <v>1373</v>
      </c>
      <c r="M423" t="n" s="5">
        <v>530.0</v>
      </c>
      <c r="N423" t="n" s="7">
        <v>44095.0</v>
      </c>
      <c r="O423" t="n" s="7">
        <v>44196.0</v>
      </c>
      <c r="P423" t="s" s="1">
        <v>3499</v>
      </c>
    </row>
    <row r="424" spans="1:16">
      <c r="A424" t="n" s="4">
        <v>419</v>
      </c>
      <c r="B424" s="2">
        <f>HYPERLINK("https://my.zakupki.prom.ua/remote/dispatcher/state_purchase_view/19695472", "UA-2020-09-29-006796-a")</f>
        <v/>
      </c>
      <c r="C424" t="s" s="2">
        <v>3245</v>
      </c>
      <c r="D424" s="2">
        <f>HYPERLINK("https://my.zakupki.prom.ua/remote/dispatcher/state_contracting_view/5686097", "UA-2020-09-29-006796-a-a1")</f>
        <v/>
      </c>
      <c r="E424" t="s" s="1">
        <v>87</v>
      </c>
      <c r="F424" t="s" s="1">
        <v>2547</v>
      </c>
      <c r="G424" t="s" s="1">
        <v>2547</v>
      </c>
      <c r="H424" t="s" s="1">
        <v>209</v>
      </c>
      <c r="I424" t="s" s="1">
        <v>2361</v>
      </c>
      <c r="J424" t="s" s="1">
        <v>3467</v>
      </c>
      <c r="K424" t="s" s="1">
        <v>766</v>
      </c>
      <c r="L424" t="s" s="1">
        <v>1406</v>
      </c>
      <c r="M424" t="n" s="5">
        <v>3950.0</v>
      </c>
      <c r="N424" t="n" s="7">
        <v>44102.0</v>
      </c>
      <c r="O424" t="n" s="7">
        <v>44196.0</v>
      </c>
      <c r="P424" t="s" s="1">
        <v>3499</v>
      </c>
    </row>
    <row r="425" spans="1:16">
      <c r="A425" t="n" s="4">
        <v>420</v>
      </c>
      <c r="B425" s="2">
        <f>HYPERLINK("https://my.zakupki.prom.ua/remote/dispatcher/state_purchase_view/17562209", "UA-2020-06-30-005121-a")</f>
        <v/>
      </c>
      <c r="C425" t="s" s="2">
        <v>3245</v>
      </c>
      <c r="D425" s="2">
        <f>HYPERLINK("https://my.zakupki.prom.ua/remote/dispatcher/state_contracting_view/4682955", "UA-2020-06-30-005121-a-a1")</f>
        <v/>
      </c>
      <c r="E425" t="s" s="1">
        <v>2061</v>
      </c>
      <c r="F425" t="s" s="1">
        <v>2415</v>
      </c>
      <c r="G425" t="s" s="1">
        <v>3465</v>
      </c>
      <c r="H425" t="s" s="1">
        <v>690</v>
      </c>
      <c r="I425" t="s" s="1">
        <v>2361</v>
      </c>
      <c r="J425" t="s" s="1">
        <v>3392</v>
      </c>
      <c r="K425" t="s" s="1">
        <v>428</v>
      </c>
      <c r="L425" t="s" s="1">
        <v>423</v>
      </c>
      <c r="M425" t="n" s="5">
        <v>1190.0</v>
      </c>
      <c r="N425" t="n" s="7">
        <v>44008.0</v>
      </c>
      <c r="O425" t="n" s="7">
        <v>44196.0</v>
      </c>
      <c r="P425" t="s" s="1">
        <v>3499</v>
      </c>
    </row>
    <row r="426" spans="1:16">
      <c r="A426" t="n" s="4">
        <v>421</v>
      </c>
      <c r="B426" s="2">
        <f>HYPERLINK("https://my.zakupki.prom.ua/remote/dispatcher/state_purchase_view/18337146", "UA-2020-08-05-006807-a")</f>
        <v/>
      </c>
      <c r="C426" t="s" s="2">
        <v>3245</v>
      </c>
      <c r="D426" s="2">
        <f>HYPERLINK("https://my.zakupki.prom.ua/remote/dispatcher/state_contracting_view/5042262", "UA-2020-08-05-006807-a-a1")</f>
        <v/>
      </c>
      <c r="E426" t="s" s="1">
        <v>1506</v>
      </c>
      <c r="F426" t="s" s="1">
        <v>2556</v>
      </c>
      <c r="G426" t="s" s="1">
        <v>2556</v>
      </c>
      <c r="H426" t="s" s="1">
        <v>213</v>
      </c>
      <c r="I426" t="s" s="1">
        <v>2361</v>
      </c>
      <c r="J426" t="s" s="1">
        <v>3467</v>
      </c>
      <c r="K426" t="s" s="1">
        <v>766</v>
      </c>
      <c r="L426" t="s" s="1">
        <v>965</v>
      </c>
      <c r="M426" t="n" s="5">
        <v>522.0</v>
      </c>
      <c r="N426" t="n" s="7">
        <v>44047.0</v>
      </c>
      <c r="O426" t="n" s="7">
        <v>44196.0</v>
      </c>
      <c r="P426" t="s" s="1">
        <v>3499</v>
      </c>
    </row>
    <row r="427" spans="1:16">
      <c r="A427" t="n" s="4">
        <v>422</v>
      </c>
      <c r="B427" s="2">
        <f>HYPERLINK("https://my.zakupki.prom.ua/remote/dispatcher/state_purchase_view/18318614", "UA-2020-08-05-001833-a")</f>
        <v/>
      </c>
      <c r="C427" t="s" s="2">
        <v>3245</v>
      </c>
      <c r="D427" s="2">
        <f>HYPERLINK("https://my.zakupki.prom.ua/remote/dispatcher/state_contracting_view/5033607", "UA-2020-08-05-001833-a-a1")</f>
        <v/>
      </c>
      <c r="E427" t="s" s="1">
        <v>44</v>
      </c>
      <c r="F427" t="s" s="1">
        <v>2972</v>
      </c>
      <c r="G427" t="s" s="1">
        <v>2972</v>
      </c>
      <c r="H427" t="s" s="1">
        <v>782</v>
      </c>
      <c r="I427" t="s" s="1">
        <v>2361</v>
      </c>
      <c r="J427" t="s" s="1">
        <v>2316</v>
      </c>
      <c r="K427" t="s" s="1">
        <v>768</v>
      </c>
      <c r="L427" t="s" s="1">
        <v>954</v>
      </c>
      <c r="M427" t="n" s="5">
        <v>140.0</v>
      </c>
      <c r="N427" t="n" s="7">
        <v>44047.0</v>
      </c>
      <c r="O427" t="n" s="7">
        <v>44196.0</v>
      </c>
      <c r="P427" t="s" s="1">
        <v>3499</v>
      </c>
    </row>
    <row r="428" spans="1:16">
      <c r="A428" t="n" s="4">
        <v>423</v>
      </c>
      <c r="B428" s="2">
        <f>HYPERLINK("https://my.zakupki.prom.ua/remote/dispatcher/state_purchase_view/17654122", "UA-2020-07-03-007581-a")</f>
        <v/>
      </c>
      <c r="C428" t="s" s="2">
        <v>3245</v>
      </c>
      <c r="D428" s="2">
        <f>HYPERLINK("https://my.zakupki.prom.ua/remote/dispatcher/state_contracting_view/4724804", "UA-2020-07-03-007581-a-a1")</f>
        <v/>
      </c>
      <c r="E428" t="s" s="1">
        <v>1264</v>
      </c>
      <c r="F428" t="s" s="1">
        <v>2650</v>
      </c>
      <c r="G428" t="s" s="1">
        <v>2650</v>
      </c>
      <c r="H428" t="s" s="1">
        <v>406</v>
      </c>
      <c r="I428" t="s" s="1">
        <v>2361</v>
      </c>
      <c r="J428" t="s" s="1">
        <v>3255</v>
      </c>
      <c r="K428" t="s" s="1">
        <v>451</v>
      </c>
      <c r="L428" t="s" s="1">
        <v>477</v>
      </c>
      <c r="M428" t="n" s="5">
        <v>1480.0</v>
      </c>
      <c r="N428" t="n" s="7">
        <v>44015.0</v>
      </c>
      <c r="O428" t="n" s="7">
        <v>44196.0</v>
      </c>
      <c r="P428" t="s" s="1">
        <v>3499</v>
      </c>
    </row>
    <row r="429" spans="1:16">
      <c r="A429" t="n" s="4">
        <v>424</v>
      </c>
      <c r="B429" s="2">
        <f>HYPERLINK("https://my.zakupki.prom.ua/remote/dispatcher/state_purchase_view/17886830", "UA-2020-07-15-002783-c")</f>
        <v/>
      </c>
      <c r="C429" t="s" s="2">
        <v>3245</v>
      </c>
      <c r="D429" s="2">
        <f>HYPERLINK("https://my.zakupki.prom.ua/remote/dispatcher/state_contracting_view/4832732", "UA-2020-07-15-002783-c-c1")</f>
        <v/>
      </c>
      <c r="E429" t="s" s="1">
        <v>566</v>
      </c>
      <c r="F429" t="s" s="1">
        <v>2513</v>
      </c>
      <c r="G429" t="s" s="1">
        <v>2513</v>
      </c>
      <c r="H429" t="s" s="1">
        <v>39</v>
      </c>
      <c r="I429" t="s" s="1">
        <v>2361</v>
      </c>
      <c r="J429" t="s" s="1">
        <v>3467</v>
      </c>
      <c r="K429" t="s" s="1">
        <v>766</v>
      </c>
      <c r="L429" t="s" s="1">
        <v>668</v>
      </c>
      <c r="M429" t="n" s="5">
        <v>4238.8</v>
      </c>
      <c r="N429" t="n" s="7">
        <v>44026.0</v>
      </c>
      <c r="O429" t="n" s="7">
        <v>44196.0</v>
      </c>
      <c r="P429" t="s" s="1">
        <v>3499</v>
      </c>
    </row>
    <row r="430" spans="1:16">
      <c r="A430" t="n" s="4">
        <v>425</v>
      </c>
      <c r="B430" s="2">
        <f>HYPERLINK("https://my.zakupki.prom.ua/remote/dispatcher/state_purchase_view/17532049", "UA-2020-06-26-004554-a")</f>
        <v/>
      </c>
      <c r="C430" t="s" s="2">
        <v>3245</v>
      </c>
      <c r="D430" s="2">
        <f>HYPERLINK("https://my.zakupki.prom.ua/remote/dispatcher/state_contracting_view/4668317", "UA-2020-06-26-004554-a-a1")</f>
        <v/>
      </c>
      <c r="E430" t="s" s="1">
        <v>907</v>
      </c>
      <c r="F430" t="s" s="1">
        <v>2386</v>
      </c>
      <c r="G430" t="s" s="1">
        <v>2386</v>
      </c>
      <c r="H430" t="s" s="1">
        <v>688</v>
      </c>
      <c r="I430" t="s" s="1">
        <v>2361</v>
      </c>
      <c r="J430" t="s" s="1">
        <v>3444</v>
      </c>
      <c r="K430" t="s" s="1">
        <v>283</v>
      </c>
      <c r="L430" t="s" s="1">
        <v>3209</v>
      </c>
      <c r="M430" t="n" s="5">
        <v>499500.0</v>
      </c>
      <c r="N430" t="n" s="7">
        <v>44006.0</v>
      </c>
      <c r="O430" t="n" s="7">
        <v>44196.0</v>
      </c>
      <c r="P430" t="s" s="1">
        <v>3499</v>
      </c>
    </row>
    <row r="431" spans="1:16">
      <c r="A431" t="n" s="4">
        <v>426</v>
      </c>
      <c r="B431" s="2">
        <f>HYPERLINK("https://my.zakupki.prom.ua/remote/dispatcher/state_purchase_view/18209576", "UA-2020-07-30-001118-c")</f>
        <v/>
      </c>
      <c r="C431" t="s" s="2">
        <v>3245</v>
      </c>
      <c r="D431" s="2">
        <f>HYPERLINK("https://my.zakupki.prom.ua/remote/dispatcher/state_contracting_view/4984366", "UA-2020-07-30-001118-c-c1")</f>
        <v/>
      </c>
      <c r="E431" t="s" s="1">
        <v>1121</v>
      </c>
      <c r="F431" t="s" s="1">
        <v>2547</v>
      </c>
      <c r="G431" t="s" s="1">
        <v>2547</v>
      </c>
      <c r="H431" t="s" s="1">
        <v>209</v>
      </c>
      <c r="I431" t="s" s="1">
        <v>2361</v>
      </c>
      <c r="J431" t="s" s="1">
        <v>3467</v>
      </c>
      <c r="K431" t="s" s="1">
        <v>766</v>
      </c>
      <c r="L431" t="s" s="1">
        <v>920</v>
      </c>
      <c r="M431" t="n" s="5">
        <v>3750.0</v>
      </c>
      <c r="N431" t="n" s="7">
        <v>44040.0</v>
      </c>
      <c r="O431" t="n" s="7">
        <v>44196.0</v>
      </c>
      <c r="P431" t="s" s="1">
        <v>3499</v>
      </c>
    </row>
    <row r="432" spans="1:16">
      <c r="A432" t="n" s="4">
        <v>427</v>
      </c>
      <c r="B432" s="2">
        <f>HYPERLINK("https://my.zakupki.prom.ua/remote/dispatcher/state_purchase_view/20013486", "UA-2020-10-12-001093-b")</f>
        <v/>
      </c>
      <c r="C432" t="s" s="2">
        <v>3245</v>
      </c>
      <c r="D432" s="2">
        <f>HYPERLINK("https://my.zakupki.prom.ua/remote/dispatcher/state_contracting_view/5833731", "UA-2020-10-12-001093-b-b1")</f>
        <v/>
      </c>
      <c r="E432" t="s" s="1">
        <v>1423</v>
      </c>
      <c r="F432" t="s" s="1">
        <v>2559</v>
      </c>
      <c r="G432" t="s" s="1">
        <v>2559</v>
      </c>
      <c r="H432" t="s" s="1">
        <v>216</v>
      </c>
      <c r="I432" t="s" s="1">
        <v>2361</v>
      </c>
      <c r="J432" t="s" s="1">
        <v>3467</v>
      </c>
      <c r="K432" t="s" s="1">
        <v>766</v>
      </c>
      <c r="L432" t="s" s="1">
        <v>1488</v>
      </c>
      <c r="M432" t="n" s="5">
        <v>1050.0</v>
      </c>
      <c r="N432" t="n" s="7">
        <v>44113.0</v>
      </c>
      <c r="O432" t="n" s="7">
        <v>44196.0</v>
      </c>
      <c r="P432" t="s" s="1">
        <v>3499</v>
      </c>
    </row>
    <row r="433" spans="1:16">
      <c r="A433" t="n" s="4">
        <v>428</v>
      </c>
      <c r="B433" s="2">
        <f>HYPERLINK("https://my.zakupki.prom.ua/remote/dispatcher/state_purchase_view/20113124", "UA-2020-10-15-004063-c")</f>
        <v/>
      </c>
      <c r="C433" t="s" s="2">
        <v>3245</v>
      </c>
      <c r="D433" s="2">
        <f>HYPERLINK("https://my.zakupki.prom.ua/remote/dispatcher/state_contracting_view/5881524", "UA-2020-10-15-004063-c-c1")</f>
        <v/>
      </c>
      <c r="E433" t="s" s="1">
        <v>981</v>
      </c>
      <c r="F433" t="s" s="1">
        <v>2585</v>
      </c>
      <c r="G433" t="s" s="1">
        <v>2585</v>
      </c>
      <c r="H433" t="s" s="1">
        <v>219</v>
      </c>
      <c r="I433" t="s" s="1">
        <v>2361</v>
      </c>
      <c r="J433" t="s" s="1">
        <v>3467</v>
      </c>
      <c r="K433" t="s" s="1">
        <v>766</v>
      </c>
      <c r="L433" t="s" s="1">
        <v>1532</v>
      </c>
      <c r="M433" t="n" s="5">
        <v>12350.0</v>
      </c>
      <c r="N433" t="n" s="7">
        <v>44116.0</v>
      </c>
      <c r="O433" t="n" s="7">
        <v>44196.0</v>
      </c>
      <c r="P433" t="s" s="1">
        <v>3499</v>
      </c>
    </row>
    <row r="434" spans="1:16">
      <c r="A434" t="n" s="4">
        <v>429</v>
      </c>
      <c r="B434" s="2">
        <f>HYPERLINK("https://my.zakupki.prom.ua/remote/dispatcher/state_purchase_view/20275290", "UA-2020-10-20-005427-a")</f>
        <v/>
      </c>
      <c r="C434" t="s" s="2">
        <v>3245</v>
      </c>
      <c r="D434" s="2">
        <f>HYPERLINK("https://my.zakupki.prom.ua/remote/dispatcher/state_contracting_view/5959314", "UA-2020-10-20-005427-a-a1")</f>
        <v/>
      </c>
      <c r="E434" t="s" s="1">
        <v>1374</v>
      </c>
      <c r="F434" t="s" s="1">
        <v>2586</v>
      </c>
      <c r="G434" t="s" s="1">
        <v>2586</v>
      </c>
      <c r="H434" t="s" s="1">
        <v>219</v>
      </c>
      <c r="I434" t="s" s="1">
        <v>2361</v>
      </c>
      <c r="J434" t="s" s="1">
        <v>3467</v>
      </c>
      <c r="K434" t="s" s="1">
        <v>766</v>
      </c>
      <c r="L434" t="s" s="1">
        <v>1554</v>
      </c>
      <c r="M434" t="n" s="5">
        <v>26605.0</v>
      </c>
      <c r="N434" t="n" s="7">
        <v>44123.0</v>
      </c>
      <c r="O434" t="n" s="7">
        <v>44196.0</v>
      </c>
      <c r="P434" t="s" s="1">
        <v>3499</v>
      </c>
    </row>
    <row r="435" spans="1:16">
      <c r="A435" t="n" s="4">
        <v>430</v>
      </c>
      <c r="B435" s="2">
        <f>HYPERLINK("https://my.zakupki.prom.ua/remote/dispatcher/state_purchase_view/21185247", "UA-2020-11-18-004896-c")</f>
        <v/>
      </c>
      <c r="C435" t="s" s="2">
        <v>3245</v>
      </c>
      <c r="D435" s="2">
        <f>HYPERLINK("https://my.zakupki.prom.ua/remote/dispatcher/state_contracting_view/6394111", "UA-2020-11-18-004896-c-c1")</f>
        <v/>
      </c>
      <c r="E435" t="s" s="1">
        <v>2043</v>
      </c>
      <c r="F435" t="s" s="1">
        <v>2502</v>
      </c>
      <c r="G435" t="s" s="1">
        <v>2502</v>
      </c>
      <c r="H435" t="s" s="1">
        <v>1140</v>
      </c>
      <c r="I435" t="s" s="1">
        <v>2361</v>
      </c>
      <c r="J435" t="s" s="1">
        <v>3416</v>
      </c>
      <c r="K435" t="s" s="1">
        <v>396</v>
      </c>
      <c r="L435" t="s" s="1">
        <v>1763</v>
      </c>
      <c r="M435" t="n" s="5">
        <v>4665.0</v>
      </c>
      <c r="N435" t="n" s="7">
        <v>44153.0</v>
      </c>
      <c r="O435" t="n" s="7">
        <v>44196.0</v>
      </c>
      <c r="P435" t="s" s="1">
        <v>3499</v>
      </c>
    </row>
    <row r="436" spans="1:16">
      <c r="A436" t="n" s="4">
        <v>431</v>
      </c>
      <c r="B436" s="2">
        <f>HYPERLINK("https://my.zakupki.prom.ua/remote/dispatcher/state_purchase_view/21153388", "UA-2020-11-17-008892-c")</f>
        <v/>
      </c>
      <c r="C436" t="s" s="2">
        <v>3245</v>
      </c>
      <c r="D436" s="2">
        <f>HYPERLINK("https://my.zakupki.prom.ua/remote/dispatcher/state_contracting_view/6379165", "UA-2020-11-17-008892-c-c1")</f>
        <v/>
      </c>
      <c r="E436" t="s" s="1">
        <v>240</v>
      </c>
      <c r="F436" t="s" s="1">
        <v>3118</v>
      </c>
      <c r="G436" t="s" s="1">
        <v>3118</v>
      </c>
      <c r="H436" t="s" s="1">
        <v>1493</v>
      </c>
      <c r="I436" t="s" s="1">
        <v>2361</v>
      </c>
      <c r="J436" t="s" s="1">
        <v>3391</v>
      </c>
      <c r="K436" t="s" s="1">
        <v>835</v>
      </c>
      <c r="L436" t="s" s="1">
        <v>1719</v>
      </c>
      <c r="M436" t="n" s="5">
        <v>24300.0</v>
      </c>
      <c r="N436" t="n" s="7">
        <v>44152.0</v>
      </c>
      <c r="O436" t="n" s="7">
        <v>44196.0</v>
      </c>
      <c r="P436" t="s" s="1">
        <v>3499</v>
      </c>
    </row>
    <row r="437" spans="1:16">
      <c r="A437" t="n" s="4">
        <v>432</v>
      </c>
      <c r="B437" s="2">
        <f>HYPERLINK("https://my.zakupki.prom.ua/remote/dispatcher/state_purchase_view/21366695", "UA-2020-11-24-003116-c")</f>
        <v/>
      </c>
      <c r="C437" t="s" s="2">
        <v>3245</v>
      </c>
      <c r="D437" s="2">
        <f>HYPERLINK("https://my.zakupki.prom.ua/remote/dispatcher/state_contracting_view/6478298", "UA-2020-11-24-003116-c-c1")</f>
        <v/>
      </c>
      <c r="E437" t="s" s="1">
        <v>2003</v>
      </c>
      <c r="F437" t="s" s="1">
        <v>3095</v>
      </c>
      <c r="G437" t="s" s="1">
        <v>3095</v>
      </c>
      <c r="H437" t="s" s="1">
        <v>1053</v>
      </c>
      <c r="I437" t="s" s="1">
        <v>2361</v>
      </c>
      <c r="J437" t="s" s="1">
        <v>3457</v>
      </c>
      <c r="K437" t="s" s="1">
        <v>800</v>
      </c>
      <c r="L437" t="s" s="1">
        <v>1790</v>
      </c>
      <c r="M437" t="n" s="5">
        <v>292713.0</v>
      </c>
      <c r="N437" t="n" s="7">
        <v>44159.0</v>
      </c>
      <c r="O437" t="n" s="7">
        <v>44196.0</v>
      </c>
      <c r="P437" t="s" s="1">
        <v>3499</v>
      </c>
    </row>
    <row r="438" spans="1:16">
      <c r="A438" t="n" s="4">
        <v>433</v>
      </c>
      <c r="B438" s="2">
        <f>HYPERLINK("https://my.zakupki.prom.ua/remote/dispatcher/state_purchase_view/21312592", "UA-2020-11-23-000396-c")</f>
        <v/>
      </c>
      <c r="C438" t="s" s="2">
        <v>3245</v>
      </c>
      <c r="D438" s="2">
        <f>HYPERLINK("https://my.zakupki.prom.ua/remote/dispatcher/state_contracting_view/6452759", "UA-2020-11-23-000396-c-c1")</f>
        <v/>
      </c>
      <c r="E438" t="s" s="1">
        <v>53</v>
      </c>
      <c r="F438" t="s" s="1">
        <v>2664</v>
      </c>
      <c r="G438" t="s" s="1">
        <v>3501</v>
      </c>
      <c r="H438" t="s" s="1">
        <v>445</v>
      </c>
      <c r="I438" t="s" s="1">
        <v>2361</v>
      </c>
      <c r="J438" t="s" s="1">
        <v>3385</v>
      </c>
      <c r="K438" t="s" s="1">
        <v>969</v>
      </c>
      <c r="L438" t="s" s="1">
        <v>3200</v>
      </c>
      <c r="M438" t="n" s="5">
        <v>4008.0</v>
      </c>
      <c r="N438" t="n" s="7">
        <v>44158.0</v>
      </c>
      <c r="O438" t="n" s="7">
        <v>44196.0</v>
      </c>
      <c r="P438" t="s" s="1">
        <v>3499</v>
      </c>
    </row>
    <row r="439" spans="1:16">
      <c r="A439" t="n" s="4">
        <v>434</v>
      </c>
      <c r="B439" s="2">
        <f>HYPERLINK("https://my.zakupki.prom.ua/remote/dispatcher/state_purchase_view/18786507", "UA-2020-08-26-002639-a")</f>
        <v/>
      </c>
      <c r="C439" t="s" s="2">
        <v>3245</v>
      </c>
      <c r="D439" s="2">
        <f>HYPERLINK("https://my.zakupki.prom.ua/remote/dispatcher/state_contracting_view/5255165", "UA-2020-08-26-002639-a-a1")</f>
        <v/>
      </c>
      <c r="E439" t="s" s="1">
        <v>1192</v>
      </c>
      <c r="F439" t="s" s="1">
        <v>2600</v>
      </c>
      <c r="G439" t="s" s="1">
        <v>2600</v>
      </c>
      <c r="H439" t="s" s="1">
        <v>221</v>
      </c>
      <c r="I439" t="s" s="1">
        <v>2361</v>
      </c>
      <c r="J439" t="s" s="1">
        <v>3467</v>
      </c>
      <c r="K439" t="s" s="1">
        <v>766</v>
      </c>
      <c r="L439" t="s" s="1">
        <v>1174</v>
      </c>
      <c r="M439" t="n" s="5">
        <v>5960.0</v>
      </c>
      <c r="N439" t="n" s="7">
        <v>44068.0</v>
      </c>
      <c r="O439" t="n" s="7">
        <v>44196.0</v>
      </c>
      <c r="P439" t="s" s="1">
        <v>3499</v>
      </c>
    </row>
    <row r="440" spans="1:16">
      <c r="A440" t="n" s="4">
        <v>435</v>
      </c>
      <c r="B440" s="2">
        <f>HYPERLINK("https://my.zakupki.prom.ua/remote/dispatcher/state_purchase_view/18482419", "UA-2020-08-12-002474-a")</f>
        <v/>
      </c>
      <c r="C440" t="s" s="2">
        <v>3245</v>
      </c>
      <c r="D440" s="2">
        <f>HYPERLINK("https://my.zakupki.prom.ua/remote/dispatcher/state_contracting_view/5110845", "UA-2020-08-12-002474-a-a1")</f>
        <v/>
      </c>
      <c r="E440" t="s" s="1">
        <v>2203</v>
      </c>
      <c r="F440" t="s" s="1">
        <v>2512</v>
      </c>
      <c r="G440" t="s" s="1">
        <v>2512</v>
      </c>
      <c r="H440" t="s" s="1">
        <v>39</v>
      </c>
      <c r="I440" t="s" s="1">
        <v>2361</v>
      </c>
      <c r="J440" t="s" s="1">
        <v>3467</v>
      </c>
      <c r="K440" t="s" s="1">
        <v>766</v>
      </c>
      <c r="L440" t="s" s="1">
        <v>1068</v>
      </c>
      <c r="M440" t="n" s="5">
        <v>5030.76</v>
      </c>
      <c r="N440" t="n" s="7">
        <v>44053.0</v>
      </c>
      <c r="O440" t="n" s="7">
        <v>44196.0</v>
      </c>
      <c r="P440" t="s" s="1">
        <v>3499</v>
      </c>
    </row>
    <row r="441" spans="1:16">
      <c r="A441" t="n" s="4">
        <v>436</v>
      </c>
      <c r="B441" s="2">
        <f>HYPERLINK("https://my.zakupki.prom.ua/remote/dispatcher/state_purchase_view/18426917", "UA-2020-08-10-004495-a")</f>
        <v/>
      </c>
      <c r="C441" t="s" s="2">
        <v>3245</v>
      </c>
      <c r="D441" s="2">
        <f>HYPERLINK("https://my.zakupki.prom.ua/remote/dispatcher/state_contracting_view/5084910", "UA-2020-08-10-004495-a-a1")</f>
        <v/>
      </c>
      <c r="E441" t="s" s="1">
        <v>1453</v>
      </c>
      <c r="F441" t="s" s="1">
        <v>3050</v>
      </c>
      <c r="G441" t="s" s="1">
        <v>3050</v>
      </c>
      <c r="H441" t="s" s="1">
        <v>1006</v>
      </c>
      <c r="I441" t="s" s="1">
        <v>2361</v>
      </c>
      <c r="J441" t="s" s="1">
        <v>3251</v>
      </c>
      <c r="K441" t="s" s="1">
        <v>486</v>
      </c>
      <c r="L441" t="s" s="1">
        <v>1030</v>
      </c>
      <c r="M441" t="n" s="5">
        <v>819.5</v>
      </c>
      <c r="N441" t="n" s="7">
        <v>44053.0</v>
      </c>
      <c r="O441" t="n" s="7">
        <v>44196.0</v>
      </c>
      <c r="P441" t="s" s="1">
        <v>3499</v>
      </c>
    </row>
    <row r="442" spans="1:16">
      <c r="A442" t="n" s="4">
        <v>437</v>
      </c>
      <c r="B442" s="2">
        <f>HYPERLINK("https://my.zakupki.prom.ua/remote/dispatcher/state_purchase_view/18513064", "UA-2020-08-13-001305-a")</f>
        <v/>
      </c>
      <c r="C442" t="s" s="2">
        <v>3245</v>
      </c>
      <c r="D442" s="2">
        <f>HYPERLINK("https://my.zakupki.prom.ua/remote/dispatcher/state_contracting_view/5124965", "UA-2020-08-13-001305-a-a1")</f>
        <v/>
      </c>
      <c r="E442" t="s" s="1">
        <v>1483</v>
      </c>
      <c r="F442" t="s" s="1">
        <v>2650</v>
      </c>
      <c r="G442" t="s" s="1">
        <v>2650</v>
      </c>
      <c r="H442" t="s" s="1">
        <v>406</v>
      </c>
      <c r="I442" t="s" s="1">
        <v>2361</v>
      </c>
      <c r="J442" t="s" s="1">
        <v>3255</v>
      </c>
      <c r="K442" t="s" s="1">
        <v>451</v>
      </c>
      <c r="L442" t="s" s="1">
        <v>1075</v>
      </c>
      <c r="M442" t="n" s="5">
        <v>1900.0</v>
      </c>
      <c r="N442" t="n" s="7">
        <v>44054.0</v>
      </c>
      <c r="O442" t="n" s="7">
        <v>44196.0</v>
      </c>
      <c r="P442" t="s" s="1">
        <v>3499</v>
      </c>
    </row>
    <row r="443" spans="1:16">
      <c r="A443" t="n" s="4">
        <v>438</v>
      </c>
      <c r="B443" s="2">
        <f>HYPERLINK("https://my.zakupki.prom.ua/remote/dispatcher/state_purchase_view/18600475", "UA-2020-08-17-007329-a")</f>
        <v/>
      </c>
      <c r="C443" t="s" s="2">
        <v>3245</v>
      </c>
      <c r="D443" s="2">
        <f>HYPERLINK("https://my.zakupki.prom.ua/remote/dispatcher/state_contracting_view/5165949", "UA-2020-08-17-007329-a-a1")</f>
        <v/>
      </c>
      <c r="E443" t="s" s="1">
        <v>842</v>
      </c>
      <c r="F443" t="s" s="1">
        <v>2653</v>
      </c>
      <c r="G443" t="s" s="1">
        <v>2653</v>
      </c>
      <c r="H443" t="s" s="1">
        <v>438</v>
      </c>
      <c r="I443" t="s" s="1">
        <v>2361</v>
      </c>
      <c r="J443" t="s" s="1">
        <v>2286</v>
      </c>
      <c r="K443" t="s" s="1">
        <v>54</v>
      </c>
      <c r="L443" t="s" s="1">
        <v>257</v>
      </c>
      <c r="M443" t="n" s="5">
        <v>487500.0</v>
      </c>
      <c r="N443" t="n" s="7">
        <v>44060.0</v>
      </c>
      <c r="O443" t="n" s="7">
        <v>44196.0</v>
      </c>
      <c r="P443" t="s" s="1">
        <v>3499</v>
      </c>
    </row>
    <row r="444" spans="1:16">
      <c r="A444" t="n" s="4">
        <v>439</v>
      </c>
      <c r="B444" s="2">
        <f>HYPERLINK("https://my.zakupki.prom.ua/remote/dispatcher/state_purchase_view/18778063", "UA-2020-08-26-000368-a")</f>
        <v/>
      </c>
      <c r="C444" t="s" s="2">
        <v>3245</v>
      </c>
      <c r="D444" s="2">
        <f>HYPERLINK("https://my.zakupki.prom.ua/remote/dispatcher/state_contracting_view/5252726", "UA-2020-08-26-000368-a-a1")</f>
        <v/>
      </c>
      <c r="E444" t="s" s="1">
        <v>1124</v>
      </c>
      <c r="F444" t="s" s="1">
        <v>2911</v>
      </c>
      <c r="G444" t="s" s="1">
        <v>2911</v>
      </c>
      <c r="H444" t="s" s="1">
        <v>718</v>
      </c>
      <c r="I444" t="s" s="1">
        <v>2361</v>
      </c>
      <c r="J444" t="s" s="1">
        <v>3302</v>
      </c>
      <c r="K444" t="s" s="1">
        <v>617</v>
      </c>
      <c r="L444" t="s" s="1">
        <v>1167</v>
      </c>
      <c r="M444" t="n" s="5">
        <v>43231.05</v>
      </c>
      <c r="N444" t="n" s="7">
        <v>44068.0</v>
      </c>
      <c r="O444" t="n" s="7">
        <v>44196.0</v>
      </c>
      <c r="P444" t="s" s="1">
        <v>3499</v>
      </c>
    </row>
    <row r="445" spans="1:16">
      <c r="A445" t="n" s="4">
        <v>440</v>
      </c>
      <c r="B445" s="2">
        <f>HYPERLINK("https://my.zakupki.prom.ua/remote/dispatcher/state_purchase_view/18264161", "UA-2020-08-03-001455-a")</f>
        <v/>
      </c>
      <c r="C445" t="s" s="2">
        <v>3245</v>
      </c>
      <c r="D445" s="2">
        <f>HYPERLINK("https://my.zakupki.prom.ua/remote/dispatcher/state_contracting_view/5076821", "UA-2020-08-03-001455-a-a1")</f>
        <v/>
      </c>
      <c r="E445" t="s" s="1">
        <v>1942</v>
      </c>
      <c r="F445" t="s" s="1">
        <v>2855</v>
      </c>
      <c r="G445" t="s" s="1">
        <v>3459</v>
      </c>
      <c r="H445" t="s" s="1">
        <v>718</v>
      </c>
      <c r="I445" t="s" s="1">
        <v>3313</v>
      </c>
      <c r="J445" t="s" s="1">
        <v>3392</v>
      </c>
      <c r="K445" t="s" s="1">
        <v>428</v>
      </c>
      <c r="L445" t="s" s="1">
        <v>990</v>
      </c>
      <c r="M445" t="n" s="5">
        <v>21288.83</v>
      </c>
      <c r="N445" t="n" s="7">
        <v>44053.0</v>
      </c>
      <c r="O445" t="n" s="7">
        <v>44196.0</v>
      </c>
      <c r="P445" t="s" s="1">
        <v>3499</v>
      </c>
    </row>
    <row r="446" spans="1:16">
      <c r="A446" t="n" s="4">
        <v>441</v>
      </c>
      <c r="B446" s="2">
        <f>HYPERLINK("https://my.zakupki.prom.ua/remote/dispatcher/state_purchase_view/18302407", "UA-2020-08-04-005687-a")</f>
        <v/>
      </c>
      <c r="C446" t="s" s="2">
        <v>3245</v>
      </c>
      <c r="D446" s="2">
        <f>HYPERLINK("https://my.zakupki.prom.ua/remote/dispatcher/state_contracting_view/5076969", "UA-2020-08-04-005687-a-a1")</f>
        <v/>
      </c>
      <c r="E446" t="s" s="1">
        <v>2141</v>
      </c>
      <c r="F446" t="s" s="1">
        <v>2941</v>
      </c>
      <c r="G446" t="s" s="1">
        <v>2941</v>
      </c>
      <c r="H446" t="s" s="1">
        <v>725</v>
      </c>
      <c r="I446" t="s" s="1">
        <v>3313</v>
      </c>
      <c r="J446" t="s" s="1">
        <v>3392</v>
      </c>
      <c r="K446" t="s" s="1">
        <v>428</v>
      </c>
      <c r="L446" t="s" s="1">
        <v>993</v>
      </c>
      <c r="M446" t="n" s="5">
        <v>31772.58</v>
      </c>
      <c r="N446" t="n" s="7">
        <v>44053.0</v>
      </c>
      <c r="O446" t="n" s="7">
        <v>44196.0</v>
      </c>
      <c r="P446" t="s" s="1">
        <v>3499</v>
      </c>
    </row>
    <row r="447" spans="1:16">
      <c r="A447" t="n" s="4">
        <v>442</v>
      </c>
      <c r="B447" s="2">
        <f>HYPERLINK("https://my.zakupki.prom.ua/remote/dispatcher/state_purchase_view/20427417", "UA-2020-10-23-008344-a")</f>
        <v/>
      </c>
      <c r="C447" t="s" s="2">
        <v>3245</v>
      </c>
      <c r="D447" s="2">
        <f>HYPERLINK("https://my.zakupki.prom.ua/remote/dispatcher/state_contracting_view/6033161", "UA-2020-10-23-008344-a-a1")</f>
        <v/>
      </c>
      <c r="E447" t="s" s="1">
        <v>1995</v>
      </c>
      <c r="F447" t="s" s="1">
        <v>2952</v>
      </c>
      <c r="G447" t="s" s="1">
        <v>2952</v>
      </c>
      <c r="H447" t="s" s="1">
        <v>727</v>
      </c>
      <c r="I447" t="s" s="1">
        <v>2361</v>
      </c>
      <c r="J447" t="s" s="1">
        <v>3409</v>
      </c>
      <c r="K447" t="s" s="1">
        <v>823</v>
      </c>
      <c r="L447" t="s" s="1">
        <v>507</v>
      </c>
      <c r="M447" t="n" s="5">
        <v>26277.84</v>
      </c>
      <c r="N447" t="n" s="7">
        <v>44126.0</v>
      </c>
      <c r="O447" t="n" s="7">
        <v>44196.0</v>
      </c>
      <c r="P447" t="s" s="1">
        <v>3499</v>
      </c>
    </row>
    <row r="448" spans="1:16">
      <c r="A448" t="n" s="4">
        <v>443</v>
      </c>
      <c r="B448" s="2">
        <f>HYPERLINK("https://my.zakupki.prom.ua/remote/dispatcher/state_purchase_view/20730563", "UA-2020-11-04-001727-c")</f>
        <v/>
      </c>
      <c r="C448" t="s" s="2">
        <v>3245</v>
      </c>
      <c r="D448" s="2">
        <f>HYPERLINK("https://my.zakupki.prom.ua/remote/dispatcher/state_contracting_view/6179760", "UA-2020-11-04-001727-c-c1")</f>
        <v/>
      </c>
      <c r="E448" t="s" s="1">
        <v>876</v>
      </c>
      <c r="F448" t="s" s="1">
        <v>2919</v>
      </c>
      <c r="G448" t="s" s="1">
        <v>3554</v>
      </c>
      <c r="H448" t="s" s="1">
        <v>718</v>
      </c>
      <c r="I448" t="s" s="1">
        <v>2361</v>
      </c>
      <c r="J448" t="s" s="1">
        <v>3392</v>
      </c>
      <c r="K448" t="s" s="1">
        <v>428</v>
      </c>
      <c r="L448" t="s" s="1">
        <v>1623</v>
      </c>
      <c r="M448" t="n" s="5">
        <v>77084.3</v>
      </c>
      <c r="N448" t="n" s="7">
        <v>44139.0</v>
      </c>
      <c r="O448" t="n" s="7">
        <v>44196.0</v>
      </c>
      <c r="P448" t="s" s="1">
        <v>3499</v>
      </c>
    </row>
    <row r="449" spans="1:16">
      <c r="A449" t="n" s="4">
        <v>444</v>
      </c>
      <c r="B449" s="2">
        <f>HYPERLINK("https://my.zakupki.prom.ua/remote/dispatcher/state_purchase_view/17723666", "UA-2020-07-08-001776-c")</f>
        <v/>
      </c>
      <c r="C449" t="s" s="2">
        <v>3245</v>
      </c>
      <c r="D449" s="2">
        <f>HYPERLINK("https://my.zakupki.prom.ua/remote/dispatcher/state_contracting_view/4757212", "UA-2020-07-08-001776-c-c1")</f>
        <v/>
      </c>
      <c r="E449" t="s" s="1">
        <v>55</v>
      </c>
      <c r="F449" t="s" s="1">
        <v>2833</v>
      </c>
      <c r="G449" t="s" s="1">
        <v>2833</v>
      </c>
      <c r="H449" t="s" s="1">
        <v>703</v>
      </c>
      <c r="I449" t="s" s="1">
        <v>2361</v>
      </c>
      <c r="J449" t="s" s="1">
        <v>3409</v>
      </c>
      <c r="K449" t="s" s="1">
        <v>823</v>
      </c>
      <c r="L449" t="s" s="1">
        <v>533</v>
      </c>
      <c r="M449" t="n" s="5">
        <v>12445.44</v>
      </c>
      <c r="N449" t="n" s="7">
        <v>44020.0</v>
      </c>
      <c r="O449" t="n" s="7">
        <v>44196.0</v>
      </c>
      <c r="P449" t="s" s="1">
        <v>3499</v>
      </c>
    </row>
    <row r="450" spans="1:16">
      <c r="A450" t="n" s="4">
        <v>445</v>
      </c>
      <c r="B450" s="2">
        <f>HYPERLINK("https://my.zakupki.prom.ua/remote/dispatcher/state_purchase_view/17327283", "UA-2020-06-18-001112-c")</f>
        <v/>
      </c>
      <c r="C450" t="s" s="2">
        <v>3245</v>
      </c>
      <c r="D450" s="2">
        <f>HYPERLINK("https://my.zakupki.prom.ua/remote/dispatcher/state_contracting_view/4573461", "UA-2020-06-18-001112-c-c1")</f>
        <v/>
      </c>
      <c r="E450" t="s" s="1">
        <v>1239</v>
      </c>
      <c r="F450" t="s" s="1">
        <v>2470</v>
      </c>
      <c r="G450" t="s" s="1">
        <v>2470</v>
      </c>
      <c r="H450" t="s" s="1">
        <v>718</v>
      </c>
      <c r="I450" t="s" s="1">
        <v>2361</v>
      </c>
      <c r="J450" t="s" s="1">
        <v>3392</v>
      </c>
      <c r="K450" t="s" s="1">
        <v>428</v>
      </c>
      <c r="L450" t="s" s="1">
        <v>347</v>
      </c>
      <c r="M450" t="n" s="5">
        <v>130.1</v>
      </c>
      <c r="N450" t="n" s="7">
        <v>43998.0</v>
      </c>
      <c r="O450" t="n" s="7">
        <v>44196.0</v>
      </c>
      <c r="P450" t="s" s="1">
        <v>3499</v>
      </c>
    </row>
    <row r="451" spans="1:16">
      <c r="A451" t="n" s="4">
        <v>446</v>
      </c>
      <c r="B451" s="2">
        <f>HYPERLINK("https://my.zakupki.prom.ua/remote/dispatcher/state_purchase_view/17761243", "UA-2020-07-09-003078-c")</f>
        <v/>
      </c>
      <c r="C451" t="s" s="2">
        <v>3245</v>
      </c>
      <c r="D451" s="2">
        <f>HYPERLINK("https://my.zakupki.prom.ua/remote/dispatcher/state_contracting_view/4774266", "UA-2020-07-09-003078-c-c1")</f>
        <v/>
      </c>
      <c r="E451" t="s" s="1">
        <v>1741</v>
      </c>
      <c r="F451" t="s" s="1">
        <v>3128</v>
      </c>
      <c r="G451" t="s" s="1">
        <v>3128</v>
      </c>
      <c r="H451" t="s" s="1">
        <v>1499</v>
      </c>
      <c r="I451" t="s" s="1">
        <v>2361</v>
      </c>
      <c r="J451" t="s" s="1">
        <v>2286</v>
      </c>
      <c r="K451" t="s" s="1">
        <v>54</v>
      </c>
      <c r="L451" t="s" s="1">
        <v>546</v>
      </c>
      <c r="M451" t="n" s="5">
        <v>720.0</v>
      </c>
      <c r="N451" t="n" s="7">
        <v>44020.0</v>
      </c>
      <c r="O451" t="n" s="7">
        <v>44196.0</v>
      </c>
      <c r="P451" t="s" s="1">
        <v>3499</v>
      </c>
    </row>
    <row r="452" spans="1:16">
      <c r="A452" t="n" s="4">
        <v>447</v>
      </c>
      <c r="B452" s="2">
        <f>HYPERLINK("https://my.zakupki.prom.ua/remote/dispatcher/state_purchase_view/18025995", "UA-2020-07-22-000122-b")</f>
        <v/>
      </c>
      <c r="C452" t="s" s="2">
        <v>3245</v>
      </c>
      <c r="D452" s="2">
        <f>HYPERLINK("https://my.zakupki.prom.ua/remote/dispatcher/state_contracting_view/4898068", "UA-2020-07-22-000122-b-b1")</f>
        <v/>
      </c>
      <c r="E452" t="s" s="1">
        <v>69</v>
      </c>
      <c r="F452" t="s" s="1">
        <v>2574</v>
      </c>
      <c r="G452" t="s" s="1">
        <v>2574</v>
      </c>
      <c r="H452" t="s" s="1">
        <v>219</v>
      </c>
      <c r="I452" t="s" s="1">
        <v>2361</v>
      </c>
      <c r="J452" t="s" s="1">
        <v>3467</v>
      </c>
      <c r="K452" t="s" s="1">
        <v>766</v>
      </c>
      <c r="L452" t="s" s="1">
        <v>760</v>
      </c>
      <c r="M452" t="n" s="5">
        <v>8774.7</v>
      </c>
      <c r="N452" t="n" s="7">
        <v>44033.0</v>
      </c>
      <c r="O452" t="n" s="7">
        <v>44196.0</v>
      </c>
      <c r="P452" t="s" s="1">
        <v>3499</v>
      </c>
    </row>
    <row r="453" spans="1:16">
      <c r="A453" t="n" s="4">
        <v>448</v>
      </c>
      <c r="B453" s="2">
        <f>HYPERLINK("https://my.zakupki.prom.ua/remote/dispatcher/state_purchase_view/17960258", "UA-2020-07-17-005602-b")</f>
        <v/>
      </c>
      <c r="C453" t="s" s="2">
        <v>3245</v>
      </c>
      <c r="D453" s="2">
        <f>HYPERLINK("https://my.zakupki.prom.ua/remote/dispatcher/state_contracting_view/4866886", "UA-2020-07-17-005602-b-b1")</f>
        <v/>
      </c>
      <c r="E453" t="s" s="1">
        <v>1261</v>
      </c>
      <c r="F453" t="s" s="1">
        <v>3010</v>
      </c>
      <c r="G453" t="s" s="1">
        <v>3010</v>
      </c>
      <c r="H453" t="s" s="1">
        <v>855</v>
      </c>
      <c r="I453" t="s" s="1">
        <v>2361</v>
      </c>
      <c r="J453" t="s" s="1">
        <v>3418</v>
      </c>
      <c r="K453" t="s" s="1">
        <v>949</v>
      </c>
      <c r="L453" t="s" s="1">
        <v>717</v>
      </c>
      <c r="M453" t="n" s="5">
        <v>10395.0</v>
      </c>
      <c r="N453" t="n" s="7">
        <v>44029.0</v>
      </c>
      <c r="O453" t="n" s="7">
        <v>44196.0</v>
      </c>
      <c r="P453" t="s" s="1">
        <v>3499</v>
      </c>
    </row>
    <row r="454" spans="1:16">
      <c r="A454" t="n" s="4">
        <v>449</v>
      </c>
      <c r="B454" s="2">
        <f>HYPERLINK("https://my.zakupki.prom.ua/remote/dispatcher/state_purchase_view/17605058", "UA-2020-07-02-003622-a")</f>
        <v/>
      </c>
      <c r="C454" t="s" s="2">
        <v>3245</v>
      </c>
      <c r="D454" s="2">
        <f>HYPERLINK("https://my.zakupki.prom.ua/remote/dispatcher/state_contracting_view/4705263", "UA-2020-07-02-003622-a-a1")</f>
        <v/>
      </c>
      <c r="E454" t="s" s="1">
        <v>1938</v>
      </c>
      <c r="F454" t="s" s="1">
        <v>2450</v>
      </c>
      <c r="G454" t="s" s="1">
        <v>2450</v>
      </c>
      <c r="H454" t="s" s="1">
        <v>718</v>
      </c>
      <c r="I454" t="s" s="1">
        <v>2361</v>
      </c>
      <c r="J454" t="s" s="1">
        <v>3392</v>
      </c>
      <c r="K454" t="s" s="1">
        <v>428</v>
      </c>
      <c r="L454" t="s" s="1">
        <v>465</v>
      </c>
      <c r="M454" t="n" s="5">
        <v>78346.39</v>
      </c>
      <c r="N454" t="n" s="7">
        <v>44013.0</v>
      </c>
      <c r="O454" t="n" s="7">
        <v>44196.0</v>
      </c>
      <c r="P454" t="s" s="1">
        <v>3499</v>
      </c>
    </row>
    <row r="455" spans="1:16">
      <c r="A455" t="n" s="4">
        <v>450</v>
      </c>
      <c r="B455" s="2">
        <f>HYPERLINK("https://my.zakupki.prom.ua/remote/dispatcher/state_purchase_view/21459502", "UA-2020-11-26-001113-b")</f>
        <v/>
      </c>
      <c r="C455" t="s" s="2">
        <v>3245</v>
      </c>
      <c r="D455" s="2">
        <f>HYPERLINK("https://my.zakupki.prom.ua/remote/dispatcher/state_contracting_view/6521610", "UA-2020-11-26-001113-b-b1")</f>
        <v/>
      </c>
      <c r="E455" t="s" s="1">
        <v>370</v>
      </c>
      <c r="F455" t="s" s="1">
        <v>3124</v>
      </c>
      <c r="G455" t="s" s="1">
        <v>3124</v>
      </c>
      <c r="H455" t="s" s="1">
        <v>1496</v>
      </c>
      <c r="I455" t="s" s="1">
        <v>2361</v>
      </c>
      <c r="J455" t="s" s="1">
        <v>3298</v>
      </c>
      <c r="K455" t="s" s="1">
        <v>395</v>
      </c>
      <c r="L455" t="s" s="1">
        <v>1774</v>
      </c>
      <c r="M455" t="n" s="5">
        <v>4246.0</v>
      </c>
      <c r="N455" t="n" s="7">
        <v>44159.0</v>
      </c>
      <c r="O455" t="n" s="7">
        <v>44196.0</v>
      </c>
      <c r="P455" t="s" s="1">
        <v>3499</v>
      </c>
    </row>
    <row r="456" spans="1:16">
      <c r="A456" t="n" s="4">
        <v>451</v>
      </c>
      <c r="B456" s="2">
        <f>HYPERLINK("https://my.zakupki.prom.ua/remote/dispatcher/state_purchase_view/21478321", "UA-2020-11-26-006280-b")</f>
        <v/>
      </c>
      <c r="C456" t="s" s="2">
        <v>3245</v>
      </c>
      <c r="D456" s="2">
        <f>HYPERLINK("https://my.zakupki.prom.ua/remote/dispatcher/state_contracting_view/6530541", "UA-2020-11-26-006280-b-b1")</f>
        <v/>
      </c>
      <c r="E456" t="s" s="1">
        <v>2155</v>
      </c>
      <c r="F456" t="s" s="1">
        <v>3141</v>
      </c>
      <c r="G456" t="s" s="1">
        <v>3141</v>
      </c>
      <c r="H456" t="s" s="1">
        <v>1614</v>
      </c>
      <c r="I456" t="s" s="1">
        <v>2361</v>
      </c>
      <c r="J456" t="s" s="1">
        <v>3400</v>
      </c>
      <c r="K456" t="s" s="1">
        <v>716</v>
      </c>
      <c r="L456" t="s" s="1">
        <v>3463</v>
      </c>
      <c r="M456" t="n" s="5">
        <v>3800.02</v>
      </c>
      <c r="N456" t="n" s="7">
        <v>44160.0</v>
      </c>
      <c r="O456" t="n" s="7">
        <v>44196.0</v>
      </c>
      <c r="P456" t="s" s="1">
        <v>3499</v>
      </c>
    </row>
    <row r="457" spans="1:16">
      <c r="A457" t="n" s="4">
        <v>452</v>
      </c>
      <c r="B457" s="2">
        <f>HYPERLINK("https://my.zakupki.prom.ua/remote/dispatcher/state_purchase_view/21986126", "UA-2020-12-10-004899-c")</f>
        <v/>
      </c>
      <c r="C457" t="s" s="2">
        <v>3245</v>
      </c>
      <c r="D457" s="2">
        <f>HYPERLINK("https://my.zakupki.prom.ua/remote/dispatcher/state_contracting_view/6768370", "UA-2020-12-10-004899-c-c1")</f>
        <v/>
      </c>
      <c r="E457" t="s" s="1">
        <v>2179</v>
      </c>
      <c r="F457" t="s" s="1">
        <v>2805</v>
      </c>
      <c r="G457" t="s" s="1">
        <v>3560</v>
      </c>
      <c r="H457" t="s" s="1">
        <v>690</v>
      </c>
      <c r="I457" t="s" s="1">
        <v>2361</v>
      </c>
      <c r="J457" t="s" s="1">
        <v>3377</v>
      </c>
      <c r="K457" t="s" s="1">
        <v>722</v>
      </c>
      <c r="L457" t="s" s="1">
        <v>933</v>
      </c>
      <c r="M457" t="n" s="5">
        <v>42382.8</v>
      </c>
      <c r="N457" t="n" s="7">
        <v>44174.0</v>
      </c>
      <c r="O457" t="n" s="7">
        <v>44196.0</v>
      </c>
      <c r="P457" t="s" s="1">
        <v>3499</v>
      </c>
    </row>
    <row r="458" spans="1:16">
      <c r="A458" t="n" s="4">
        <v>453</v>
      </c>
      <c r="B458" s="2">
        <f>HYPERLINK("https://my.zakupki.prom.ua/remote/dispatcher/state_purchase_view/18996695", "UA-2020-09-03-009014-b")</f>
        <v/>
      </c>
      <c r="C458" t="s" s="2">
        <v>3245</v>
      </c>
      <c r="D458" s="2">
        <f>HYPERLINK("https://my.zakupki.prom.ua/remote/dispatcher/state_contracting_view/5354666", "UA-2020-09-03-009014-b-b1")</f>
        <v/>
      </c>
      <c r="E458" t="s" s="1">
        <v>2168</v>
      </c>
      <c r="F458" t="s" s="1">
        <v>2992</v>
      </c>
      <c r="G458" t="s" s="1">
        <v>2992</v>
      </c>
      <c r="H458" t="s" s="1">
        <v>848</v>
      </c>
      <c r="I458" t="s" s="1">
        <v>2361</v>
      </c>
      <c r="J458" t="s" s="1">
        <v>2305</v>
      </c>
      <c r="K458" t="s" s="1">
        <v>361</v>
      </c>
      <c r="L458" t="s" s="1">
        <v>1230</v>
      </c>
      <c r="M458" t="n" s="5">
        <v>2661.0</v>
      </c>
      <c r="N458" t="n" s="7">
        <v>44077.0</v>
      </c>
      <c r="O458" t="n" s="7">
        <v>44196.0</v>
      </c>
      <c r="P458" t="s" s="1">
        <v>3499</v>
      </c>
    </row>
    <row r="459" spans="1:16">
      <c r="A459" t="n" s="4">
        <v>454</v>
      </c>
      <c r="B459" s="2">
        <f>HYPERLINK("https://my.zakupki.prom.ua/remote/dispatcher/state_purchase_view/18964474", "UA-2020-09-03-000269-b")</f>
        <v/>
      </c>
      <c r="C459" t="s" s="2">
        <v>3245</v>
      </c>
      <c r="D459" s="2">
        <f>HYPERLINK("https://my.zakupki.prom.ua/remote/dispatcher/state_contracting_view/5342289", "UA-2020-09-03-000269-b-b1")</f>
        <v/>
      </c>
      <c r="E459" t="s" s="1">
        <v>1120</v>
      </c>
      <c r="F459" t="s" s="1">
        <v>3154</v>
      </c>
      <c r="G459" t="s" s="1">
        <v>3154</v>
      </c>
      <c r="H459" t="s" s="1">
        <v>39</v>
      </c>
      <c r="I459" t="s" s="1">
        <v>2361</v>
      </c>
      <c r="J459" t="s" s="1">
        <v>3467</v>
      </c>
      <c r="K459" t="s" s="1">
        <v>766</v>
      </c>
      <c r="L459" t="s" s="1">
        <v>1209</v>
      </c>
      <c r="M459" t="n" s="5">
        <v>5964.65</v>
      </c>
      <c r="N459" t="n" s="7">
        <v>44075.0</v>
      </c>
      <c r="O459" t="n" s="7">
        <v>44196.0</v>
      </c>
      <c r="P459" t="s" s="1">
        <v>3499</v>
      </c>
    </row>
    <row r="460" spans="1:16">
      <c r="A460" t="n" s="4">
        <v>455</v>
      </c>
      <c r="B460" s="2">
        <f>HYPERLINK("https://my.zakupki.prom.ua/remote/dispatcher/state_purchase_view/21586641", "UA-2020-12-01-000634-b")</f>
        <v/>
      </c>
      <c r="C460" t="s" s="2">
        <v>3245</v>
      </c>
      <c r="D460" s="2">
        <f>HYPERLINK("https://my.zakupki.prom.ua/remote/dispatcher/state_contracting_view/6581560", "UA-2020-12-01-000634-b-b1")</f>
        <v/>
      </c>
      <c r="E460" t="s" s="1">
        <v>1881</v>
      </c>
      <c r="F460" t="s" s="1">
        <v>3149</v>
      </c>
      <c r="G460" t="s" s="1">
        <v>3149</v>
      </c>
      <c r="H460" t="s" s="1">
        <v>1762</v>
      </c>
      <c r="I460" t="s" s="1">
        <v>2361</v>
      </c>
      <c r="J460" t="s" s="1">
        <v>3395</v>
      </c>
      <c r="K460" t="s" s="1">
        <v>994</v>
      </c>
      <c r="L460" t="s" s="1">
        <v>948</v>
      </c>
      <c r="M460" t="n" s="5">
        <v>45000.0</v>
      </c>
      <c r="N460" t="n" s="7">
        <v>44166.0</v>
      </c>
      <c r="O460" t="n" s="7">
        <v>44196.0</v>
      </c>
      <c r="P460" t="s" s="1">
        <v>3499</v>
      </c>
    </row>
    <row r="461" spans="1:16">
      <c r="A461" t="n" s="4">
        <v>456</v>
      </c>
      <c r="B461" s="2">
        <f>HYPERLINK("https://my.zakupki.prom.ua/remote/dispatcher/state_purchase_view/22015592", "UA-2020-12-10-013488-c")</f>
        <v/>
      </c>
      <c r="C461" t="s" s="2">
        <v>3245</v>
      </c>
      <c r="D461" s="2">
        <f>HYPERLINK("https://my.zakupki.prom.ua/remote/dispatcher/state_contracting_view/6782546", "UA-2020-12-10-013488-c-c1")</f>
        <v/>
      </c>
      <c r="E461" t="s" s="1">
        <v>1711</v>
      </c>
      <c r="F461" t="s" s="1">
        <v>2950</v>
      </c>
      <c r="G461" t="s" s="1">
        <v>3537</v>
      </c>
      <c r="H461" t="s" s="1">
        <v>727</v>
      </c>
      <c r="I461" t="s" s="1">
        <v>2361</v>
      </c>
      <c r="J461" t="s" s="1">
        <v>2358</v>
      </c>
      <c r="K461" t="s" s="1">
        <v>376</v>
      </c>
      <c r="L461" t="s" s="1">
        <v>1833</v>
      </c>
      <c r="M461" t="n" s="5">
        <v>55448.0</v>
      </c>
      <c r="N461" t="n" s="7">
        <v>44173.0</v>
      </c>
      <c r="O461" t="n" s="7">
        <v>44196.0</v>
      </c>
      <c r="P461" t="s" s="1">
        <v>3499</v>
      </c>
    </row>
    <row r="462" spans="1:16">
      <c r="A462" t="n" s="4">
        <v>457</v>
      </c>
      <c r="B462" s="2">
        <f>HYPERLINK("https://my.zakupki.prom.ua/remote/dispatcher/state_purchase_view/21700588", "UA-2020-12-03-004859-b")</f>
        <v/>
      </c>
      <c r="C462" t="s" s="2">
        <v>3245</v>
      </c>
      <c r="D462" s="2">
        <f>HYPERLINK("https://my.zakupki.prom.ua/remote/dispatcher/state_contracting_view/6634794", "UA-2020-12-03-004859-b-b1")</f>
        <v/>
      </c>
      <c r="E462" t="s" s="1">
        <v>139</v>
      </c>
      <c r="F462" t="s" s="1">
        <v>2566</v>
      </c>
      <c r="G462" t="s" s="1">
        <v>2566</v>
      </c>
      <c r="H462" t="s" s="1">
        <v>216</v>
      </c>
      <c r="I462" t="s" s="1">
        <v>2361</v>
      </c>
      <c r="J462" t="s" s="1">
        <v>3467</v>
      </c>
      <c r="K462" t="s" s="1">
        <v>766</v>
      </c>
      <c r="L462" t="s" s="1">
        <v>1825</v>
      </c>
      <c r="M462" t="n" s="5">
        <v>7980.0</v>
      </c>
      <c r="N462" t="n" s="7">
        <v>44166.0</v>
      </c>
      <c r="O462" t="n" s="7">
        <v>44196.0</v>
      </c>
      <c r="P462" t="s" s="1">
        <v>3499</v>
      </c>
    </row>
    <row r="463" spans="1:16">
      <c r="A463" t="n" s="4">
        <v>458</v>
      </c>
      <c r="B463" s="2">
        <f>HYPERLINK("https://my.zakupki.prom.ua/remote/dispatcher/state_purchase_view/14859168", "UA-2020-01-27-003189-a")</f>
        <v/>
      </c>
      <c r="C463" t="s" s="2">
        <v>3245</v>
      </c>
      <c r="D463" s="2">
        <f>HYPERLINK("https://my.zakupki.prom.ua/remote/dispatcher/state_contracting_view/3694488", "UA-2020-01-27-003189-a-a1")</f>
        <v/>
      </c>
      <c r="E463" t="s" s="1">
        <v>186</v>
      </c>
      <c r="F463" t="s" s="1">
        <v>601</v>
      </c>
      <c r="G463" t="s" s="1">
        <v>2295</v>
      </c>
      <c r="H463" t="s" s="1">
        <v>601</v>
      </c>
      <c r="I463" t="s" s="1">
        <v>2361</v>
      </c>
      <c r="J463" t="s" s="1">
        <v>3217</v>
      </c>
      <c r="K463" t="s" s="1">
        <v>615</v>
      </c>
      <c r="L463" t="s" s="1">
        <v>144</v>
      </c>
      <c r="M463" t="n" s="5">
        <v>20750.0</v>
      </c>
      <c r="N463" t="n" s="7">
        <v>43857.0</v>
      </c>
      <c r="O463" t="n" s="7">
        <v>44196.0</v>
      </c>
      <c r="P463" t="s" s="1">
        <v>3499</v>
      </c>
    </row>
    <row r="464" spans="1:16">
      <c r="A464" t="n" s="4">
        <v>459</v>
      </c>
      <c r="B464" s="2">
        <f>HYPERLINK("https://my.zakupki.prom.ua/remote/dispatcher/state_purchase_view/15186276", "UA-2020-02-10-000987-b")</f>
        <v/>
      </c>
      <c r="C464" t="s" s="2">
        <v>3245</v>
      </c>
      <c r="D464" s="2">
        <f>HYPERLINK("https://my.zakupki.prom.ua/remote/dispatcher/state_contracting_view/3773601", "UA-2020-02-10-000987-b-b1")</f>
        <v/>
      </c>
      <c r="E464" t="s" s="1">
        <v>2233</v>
      </c>
      <c r="F464" t="s" s="1">
        <v>295</v>
      </c>
      <c r="G464" t="s" s="1">
        <v>295</v>
      </c>
      <c r="H464" t="s" s="1">
        <v>294</v>
      </c>
      <c r="I464" t="s" s="1">
        <v>2361</v>
      </c>
      <c r="J464" t="s" s="1">
        <v>3435</v>
      </c>
      <c r="K464" t="s" s="1">
        <v>400</v>
      </c>
      <c r="L464" t="s" s="1">
        <v>434</v>
      </c>
      <c r="M464" t="n" s="5">
        <v>5200.0</v>
      </c>
      <c r="N464" t="n" s="7">
        <v>43871.0</v>
      </c>
      <c r="O464" t="n" s="7">
        <v>44196.0</v>
      </c>
      <c r="P464" t="s" s="1">
        <v>3499</v>
      </c>
    </row>
    <row r="465" spans="1:16">
      <c r="A465" t="n" s="4">
        <v>460</v>
      </c>
      <c r="B465" s="2">
        <f>HYPERLINK("https://my.zakupki.prom.ua/remote/dispatcher/state_purchase_view/15721296", "UA-2020-03-12-001087-b")</f>
        <v/>
      </c>
      <c r="C465" t="s" s="2">
        <v>3245</v>
      </c>
      <c r="D465" s="2">
        <f>HYPERLINK("https://my.zakupki.prom.ua/remote/dispatcher/state_contracting_view/3929769", "UA-2020-03-12-001087-b-b1")</f>
        <v/>
      </c>
      <c r="E465" t="s" s="1">
        <v>2075</v>
      </c>
      <c r="F465" t="s" s="1">
        <v>2299</v>
      </c>
      <c r="G465" t="s" s="1">
        <v>2300</v>
      </c>
      <c r="H465" t="s" s="1">
        <v>1003</v>
      </c>
      <c r="I465" t="s" s="1">
        <v>2361</v>
      </c>
      <c r="J465" t="s" s="1">
        <v>3251</v>
      </c>
      <c r="K465" t="s" s="1">
        <v>486</v>
      </c>
      <c r="L465" t="s" s="1">
        <v>1531</v>
      </c>
      <c r="M465" t="n" s="5">
        <v>1272.78</v>
      </c>
      <c r="N465" t="n" s="7">
        <v>43902.0</v>
      </c>
      <c r="O465" t="n" s="7">
        <v>44196.0</v>
      </c>
      <c r="P465" t="s" s="1">
        <v>3499</v>
      </c>
    </row>
    <row r="466" spans="1:16">
      <c r="A466" t="n" s="4">
        <v>461</v>
      </c>
      <c r="B466" s="2">
        <f>HYPERLINK("https://my.zakupki.prom.ua/remote/dispatcher/state_purchase_view/15721920", "UA-2020-03-12-001230-b")</f>
        <v/>
      </c>
      <c r="C466" t="s" s="2">
        <v>3245</v>
      </c>
      <c r="D466" s="2">
        <f>HYPERLINK("https://my.zakupki.prom.ua/remote/dispatcher/state_contracting_view/3929941", "UA-2020-03-12-001230-b-b1")</f>
        <v/>
      </c>
      <c r="E466" t="s" s="1">
        <v>1064</v>
      </c>
      <c r="F466" t="s" s="1">
        <v>2300</v>
      </c>
      <c r="G466" t="s" s="1">
        <v>2300</v>
      </c>
      <c r="H466" t="s" s="1">
        <v>1003</v>
      </c>
      <c r="I466" t="s" s="1">
        <v>2361</v>
      </c>
      <c r="J466" t="s" s="1">
        <v>2376</v>
      </c>
      <c r="K466" t="s" s="1">
        <v>498</v>
      </c>
      <c r="L466" t="s" s="1">
        <v>1557</v>
      </c>
      <c r="M466" t="n" s="5">
        <v>600.0</v>
      </c>
      <c r="N466" t="n" s="7">
        <v>43902.0</v>
      </c>
      <c r="O466" t="n" s="7">
        <v>44196.0</v>
      </c>
      <c r="P466" t="s" s="1">
        <v>3499</v>
      </c>
    </row>
    <row r="467" spans="1:16">
      <c r="A467" t="n" s="4">
        <v>462</v>
      </c>
      <c r="B467" s="2">
        <f>HYPERLINK("https://my.zakupki.prom.ua/remote/dispatcher/state_purchase_view/16399634", "UA-2020-04-17-007388-b")</f>
        <v/>
      </c>
      <c r="C467" t="s" s="2">
        <v>3245</v>
      </c>
      <c r="D467" s="2">
        <f>HYPERLINK("https://my.zakupki.prom.ua/remote/dispatcher/state_contracting_view/4157025", "UA-2020-04-17-007388-b-b1")</f>
        <v/>
      </c>
      <c r="E467" t="s" s="1">
        <v>1119</v>
      </c>
      <c r="F467" t="s" s="1">
        <v>2329</v>
      </c>
      <c r="G467" t="s" s="1">
        <v>2329</v>
      </c>
      <c r="H467" t="s" s="1">
        <v>703</v>
      </c>
      <c r="I467" t="s" s="1">
        <v>2361</v>
      </c>
      <c r="J467" t="s" s="1">
        <v>3417</v>
      </c>
      <c r="K467" t="s" s="1">
        <v>950</v>
      </c>
      <c r="L467" t="s" s="1">
        <v>3202</v>
      </c>
      <c r="M467" t="n" s="5">
        <v>4025.0</v>
      </c>
      <c r="N467" t="n" s="7">
        <v>43938.0</v>
      </c>
      <c r="O467" t="n" s="7">
        <v>44196.0</v>
      </c>
      <c r="P467" t="s" s="1">
        <v>3499</v>
      </c>
    </row>
    <row r="468" spans="1:16">
      <c r="A468" t="n" s="4">
        <v>463</v>
      </c>
      <c r="B468" s="2">
        <f>HYPERLINK("https://my.zakupki.prom.ua/remote/dispatcher/state_purchase_view/15692992", "UA-2020-03-11-000947-b")</f>
        <v/>
      </c>
      <c r="C468" t="s" s="2">
        <v>3245</v>
      </c>
      <c r="D468" s="2">
        <f>HYPERLINK("https://my.zakupki.prom.ua/remote/dispatcher/state_contracting_view/3917035", "UA-2020-03-11-000947-b-b1")</f>
        <v/>
      </c>
      <c r="E468" t="s" s="1">
        <v>1965</v>
      </c>
      <c r="F468" t="s" s="1">
        <v>3333</v>
      </c>
      <c r="G468" t="s" s="1">
        <v>3333</v>
      </c>
      <c r="H468" t="s" s="1">
        <v>707</v>
      </c>
      <c r="I468" t="s" s="1">
        <v>2361</v>
      </c>
      <c r="J468" t="s" s="1">
        <v>2287</v>
      </c>
      <c r="K468" t="s" s="1">
        <v>537</v>
      </c>
      <c r="L468" t="s" s="1">
        <v>1305</v>
      </c>
      <c r="M468" t="n" s="5">
        <v>14550.0</v>
      </c>
      <c r="N468" t="n" s="7">
        <v>43901.0</v>
      </c>
      <c r="O468" t="n" s="7">
        <v>44196.0</v>
      </c>
      <c r="P468" t="s" s="1">
        <v>3499</v>
      </c>
    </row>
    <row r="469" spans="1:16">
      <c r="A469" t="n" s="4">
        <v>464</v>
      </c>
      <c r="B469" s="2">
        <f>HYPERLINK("https://my.zakupki.prom.ua/remote/dispatcher/state_purchase_view/15706702", "UA-2020-03-11-003803-b")</f>
        <v/>
      </c>
      <c r="C469" t="s" s="2">
        <v>3245</v>
      </c>
      <c r="D469" s="2">
        <f>HYPERLINK("https://my.zakupki.prom.ua/remote/dispatcher/state_contracting_view/3920942", "UA-2020-03-11-003803-b-b1")</f>
        <v/>
      </c>
      <c r="E469" t="s" s="1">
        <v>1746</v>
      </c>
      <c r="F469" t="s" s="1">
        <v>3337</v>
      </c>
      <c r="G469" t="s" s="1">
        <v>3337</v>
      </c>
      <c r="H469" t="s" s="1">
        <v>727</v>
      </c>
      <c r="I469" t="s" s="1">
        <v>2361</v>
      </c>
      <c r="J469" t="s" s="1">
        <v>3221</v>
      </c>
      <c r="K469" t="s" s="1">
        <v>296</v>
      </c>
      <c r="L469" t="s" s="1">
        <v>1132</v>
      </c>
      <c r="M469" t="n" s="5">
        <v>9792.48</v>
      </c>
      <c r="N469" t="n" s="7">
        <v>43901.0</v>
      </c>
      <c r="O469" t="n" s="7">
        <v>44196.0</v>
      </c>
      <c r="P469" t="s" s="1">
        <v>3499</v>
      </c>
    </row>
    <row r="470" spans="1:16">
      <c r="A470" t="n" s="4">
        <v>465</v>
      </c>
      <c r="B470" s="2">
        <f>HYPERLINK("https://my.zakupki.prom.ua/remote/dispatcher/state_purchase_view/15970236", "UA-2020-03-26-000221-b")</f>
        <v/>
      </c>
      <c r="C470" t="s" s="2">
        <v>3245</v>
      </c>
      <c r="D470" s="2">
        <f>HYPERLINK("https://my.zakupki.prom.ua/remote/dispatcher/state_contracting_view/4004857", "UA-2020-03-26-000221-b-b1")</f>
        <v/>
      </c>
      <c r="E470" t="s" s="1">
        <v>1108</v>
      </c>
      <c r="F470" t="s" s="1">
        <v>765</v>
      </c>
      <c r="G470" t="s" s="1">
        <v>2364</v>
      </c>
      <c r="H470" t="s" s="1">
        <v>764</v>
      </c>
      <c r="I470" t="s" s="1">
        <v>2361</v>
      </c>
      <c r="J470" t="s" s="1">
        <v>3392</v>
      </c>
      <c r="K470" t="s" s="1">
        <v>428</v>
      </c>
      <c r="L470" t="s" s="1">
        <v>1781</v>
      </c>
      <c r="M470" t="n" s="5">
        <v>30000.0</v>
      </c>
      <c r="N470" t="n" s="7">
        <v>43913.0</v>
      </c>
      <c r="O470" t="n" s="7">
        <v>44196.0</v>
      </c>
      <c r="P470" t="s" s="1">
        <v>3499</v>
      </c>
    </row>
    <row r="471" spans="1:16">
      <c r="A471" t="n" s="4">
        <v>466</v>
      </c>
      <c r="B471" s="2">
        <f>HYPERLINK("https://my.zakupki.prom.ua/remote/dispatcher/state_purchase_view/15970409", "UA-2020-03-26-000258-b")</f>
        <v/>
      </c>
      <c r="C471" t="s" s="2">
        <v>3245</v>
      </c>
      <c r="D471" s="2">
        <f>HYPERLINK("https://my.zakupki.prom.ua/remote/dispatcher/state_contracting_view/4004978", "UA-2020-03-26-000258-b-b1")</f>
        <v/>
      </c>
      <c r="E471" t="s" s="1">
        <v>1874</v>
      </c>
      <c r="F471" t="s" s="1">
        <v>2364</v>
      </c>
      <c r="G471" t="s" s="1">
        <v>2364</v>
      </c>
      <c r="H471" t="s" s="1">
        <v>690</v>
      </c>
      <c r="I471" t="s" s="1">
        <v>2361</v>
      </c>
      <c r="J471" t="s" s="1">
        <v>3392</v>
      </c>
      <c r="K471" t="s" s="1">
        <v>428</v>
      </c>
      <c r="L471" t="s" s="1">
        <v>1796</v>
      </c>
      <c r="M471" t="n" s="5">
        <v>21975.0</v>
      </c>
      <c r="N471" t="n" s="7">
        <v>43913.0</v>
      </c>
      <c r="O471" t="n" s="7">
        <v>44196.0</v>
      </c>
      <c r="P471" t="s" s="1">
        <v>3499</v>
      </c>
    </row>
    <row r="472" spans="1:16">
      <c r="A472" t="n" s="4">
        <v>467</v>
      </c>
      <c r="B472" s="2">
        <f>HYPERLINK("https://my.zakupki.prom.ua/remote/dispatcher/state_purchase_view/17222996", "UA-2020-06-12-010274-c")</f>
        <v/>
      </c>
      <c r="C472" t="s" s="2">
        <v>3245</v>
      </c>
      <c r="D472" s="2">
        <f>HYPERLINK("https://my.zakupki.prom.ua/remote/dispatcher/state_contracting_view/4525228", "UA-2020-06-12-010274-c-c1")</f>
        <v/>
      </c>
      <c r="E472" t="s" s="1">
        <v>1940</v>
      </c>
      <c r="F472" t="s" s="1">
        <v>3335</v>
      </c>
      <c r="G472" t="s" s="1">
        <v>3458</v>
      </c>
      <c r="H472" t="s" s="1">
        <v>732</v>
      </c>
      <c r="I472" t="s" s="1">
        <v>2361</v>
      </c>
      <c r="J472" t="s" s="1">
        <v>3392</v>
      </c>
      <c r="K472" t="s" s="1">
        <v>428</v>
      </c>
      <c r="L472" t="s" s="1">
        <v>287</v>
      </c>
      <c r="M472" t="n" s="5">
        <v>11516.47</v>
      </c>
      <c r="N472" t="n" s="7">
        <v>43993.0</v>
      </c>
      <c r="O472" t="n" s="7">
        <v>44196.0</v>
      </c>
      <c r="P472" t="s" s="1">
        <v>3499</v>
      </c>
    </row>
    <row r="473" spans="1:16">
      <c r="A473" t="n" s="4">
        <v>468</v>
      </c>
      <c r="B473" s="2">
        <f>HYPERLINK("https://my.zakupki.prom.ua/remote/dispatcher/state_purchase_view/22183218", "UA-2020-12-15-008324-c")</f>
        <v/>
      </c>
      <c r="C473" t="s" s="2">
        <v>3245</v>
      </c>
      <c r="D473" s="2">
        <f>HYPERLINK("https://my.zakupki.prom.ua/remote/dispatcher/state_contracting_view/6863878", "UA-2020-12-15-008324-c-c1")</f>
        <v/>
      </c>
      <c r="E473" t="s" s="1">
        <v>1974</v>
      </c>
      <c r="F473" t="s" s="1">
        <v>2896</v>
      </c>
      <c r="G473" t="s" s="1">
        <v>3525</v>
      </c>
      <c r="H473" t="s" s="1">
        <v>718</v>
      </c>
      <c r="I473" t="s" s="1">
        <v>2361</v>
      </c>
      <c r="J473" t="s" s="1">
        <v>3377</v>
      </c>
      <c r="K473" t="s" s="1">
        <v>722</v>
      </c>
      <c r="L473" t="s" s="1">
        <v>971</v>
      </c>
      <c r="M473" t="n" s="5">
        <v>1620.0</v>
      </c>
      <c r="N473" t="n" s="7">
        <v>44180.0</v>
      </c>
      <c r="O473" t="n" s="7">
        <v>44196.0</v>
      </c>
      <c r="P473" t="s" s="1">
        <v>3499</v>
      </c>
    </row>
    <row r="474" spans="1:16">
      <c r="A474" t="n" s="4">
        <v>469</v>
      </c>
      <c r="B474" s="2">
        <f>HYPERLINK("https://my.zakupki.prom.ua/remote/dispatcher/state_purchase_view/21754507", "UA-2020-12-04-004809-b")</f>
        <v/>
      </c>
      <c r="C474" t="s" s="2">
        <v>3245</v>
      </c>
      <c r="D474" s="2">
        <f>HYPERLINK("https://my.zakupki.prom.ua/remote/dispatcher/state_contracting_view/6934638", "UA-2020-12-04-004809-b-b1")</f>
        <v/>
      </c>
      <c r="E474" t="s" s="1">
        <v>1913</v>
      </c>
      <c r="F474" t="s" s="1">
        <v>2531</v>
      </c>
      <c r="G474" t="s" s="1">
        <v>2530</v>
      </c>
      <c r="H474" t="s" s="1">
        <v>78</v>
      </c>
      <c r="I474" t="s" s="1">
        <v>3313</v>
      </c>
      <c r="J474" t="s" s="1">
        <v>3379</v>
      </c>
      <c r="K474" t="s" s="1">
        <v>812</v>
      </c>
      <c r="L474" t="s" s="1">
        <v>1860</v>
      </c>
      <c r="M474" t="n" s="5">
        <v>398122.2</v>
      </c>
      <c r="N474" t="n" s="7">
        <v>44181.0</v>
      </c>
      <c r="O474" t="n" s="7">
        <v>44196.0</v>
      </c>
      <c r="P474" t="s" s="1">
        <v>3499</v>
      </c>
    </row>
    <row r="475" spans="1:16">
      <c r="A475" t="n" s="4">
        <v>470</v>
      </c>
      <c r="B475" s="2">
        <f>HYPERLINK("https://my.zakupki.prom.ua/remote/dispatcher/state_purchase_view/21837693", "UA-2020-12-07-004396-c")</f>
        <v/>
      </c>
      <c r="C475" t="s" s="2">
        <v>3245</v>
      </c>
      <c r="D475" s="2">
        <f>HYPERLINK("https://my.zakupki.prom.ua/remote/dispatcher/state_contracting_view/6697188", "UA-2020-12-07-004396-c-c1")</f>
        <v/>
      </c>
      <c r="E475" t="s" s="1">
        <v>333</v>
      </c>
      <c r="F475" t="s" s="1">
        <v>2827</v>
      </c>
      <c r="G475" t="s" s="1">
        <v>2827</v>
      </c>
      <c r="H475" t="s" s="1">
        <v>703</v>
      </c>
      <c r="I475" t="s" s="1">
        <v>2361</v>
      </c>
      <c r="J475" t="s" s="1">
        <v>2358</v>
      </c>
      <c r="K475" t="s" s="1">
        <v>376</v>
      </c>
      <c r="L475" t="s" s="1">
        <v>1832</v>
      </c>
      <c r="M475" t="n" s="5">
        <v>200000.0</v>
      </c>
      <c r="N475" t="n" s="7">
        <v>44172.0</v>
      </c>
      <c r="O475" t="n" s="7">
        <v>44196.0</v>
      </c>
      <c r="P475" t="s" s="1">
        <v>3499</v>
      </c>
    </row>
    <row r="476" spans="1:16">
      <c r="A476" t="n" s="4">
        <v>471</v>
      </c>
      <c r="B476" s="2">
        <f>HYPERLINK("https://my.zakupki.prom.ua/remote/dispatcher/state_purchase_view/22108606", "UA-2020-12-14-003700-c")</f>
        <v/>
      </c>
      <c r="C476" t="s" s="2">
        <v>3245</v>
      </c>
      <c r="D476" s="2">
        <f>HYPERLINK("https://my.zakupki.prom.ua/remote/dispatcher/state_contracting_view/6826840", "UA-2020-12-14-003700-c-c1")</f>
        <v/>
      </c>
      <c r="E476" t="s" s="1">
        <v>1880</v>
      </c>
      <c r="F476" t="s" s="1">
        <v>2637</v>
      </c>
      <c r="G476" t="s" s="1">
        <v>2637</v>
      </c>
      <c r="H476" t="s" s="1">
        <v>291</v>
      </c>
      <c r="I476" t="s" s="1">
        <v>2361</v>
      </c>
      <c r="J476" t="s" s="1">
        <v>3403</v>
      </c>
      <c r="K476" t="s" s="1">
        <v>771</v>
      </c>
      <c r="L476" t="s" s="1">
        <v>1858</v>
      </c>
      <c r="M476" t="n" s="5">
        <v>8506.5</v>
      </c>
      <c r="N476" t="n" s="7">
        <v>44179.0</v>
      </c>
      <c r="O476" t="n" s="7">
        <v>44196.0</v>
      </c>
      <c r="P476" t="s" s="1">
        <v>3499</v>
      </c>
    </row>
    <row r="477" spans="1:16">
      <c r="A477" t="n" s="4">
        <v>472</v>
      </c>
      <c r="B477" s="2">
        <f>HYPERLINK("https://my.zakupki.prom.ua/remote/dispatcher/state_purchase_view/22459321", "UA-2020-12-21-012277-c")</f>
        <v/>
      </c>
      <c r="C477" t="s" s="2">
        <v>3245</v>
      </c>
      <c r="D477" s="2">
        <f>HYPERLINK("https://my.zakupki.prom.ua/remote/dispatcher/state_contracting_view/6996396", "UA-2020-12-21-012277-c-c1")</f>
        <v/>
      </c>
      <c r="E477" t="s" s="1">
        <v>1603</v>
      </c>
      <c r="F477" t="s" s="1">
        <v>2532</v>
      </c>
      <c r="G477" t="s" s="1">
        <v>3488</v>
      </c>
      <c r="H477" t="s" s="1">
        <v>192</v>
      </c>
      <c r="I477" t="s" s="1">
        <v>2361</v>
      </c>
      <c r="J477" t="s" s="1">
        <v>3408</v>
      </c>
      <c r="K477" t="s" s="1">
        <v>751</v>
      </c>
      <c r="L477" t="s" s="1">
        <v>243</v>
      </c>
      <c r="M477" t="n" s="5">
        <v>37038.9</v>
      </c>
      <c r="N477" t="n" s="7">
        <v>44182.0</v>
      </c>
      <c r="O477" t="n" s="7">
        <v>44196.0</v>
      </c>
      <c r="P477" t="s" s="1">
        <v>3499</v>
      </c>
    </row>
    <row r="478" spans="1:16">
      <c r="A478" t="n" s="4">
        <v>473</v>
      </c>
      <c r="B478" s="2">
        <f>HYPERLINK("https://my.zakupki.prom.ua/remote/dispatcher/state_purchase_view/22773445", "UA-2020-12-29-007484-a")</f>
        <v/>
      </c>
      <c r="C478" t="s" s="2">
        <v>3245</v>
      </c>
      <c r="D478" s="2">
        <f>HYPERLINK("https://my.zakupki.prom.ua/remote/dispatcher/state_contracting_view/7150161", "UA-2020-12-29-007484-a-a1")</f>
        <v/>
      </c>
      <c r="E478" t="s" s="1">
        <v>1777</v>
      </c>
      <c r="F478" t="s" s="1">
        <v>2954</v>
      </c>
      <c r="G478" t="s" s="1">
        <v>2954</v>
      </c>
      <c r="H478" t="s" s="1">
        <v>733</v>
      </c>
      <c r="I478" t="s" s="1">
        <v>2361</v>
      </c>
      <c r="J478" t="s" s="1">
        <v>3467</v>
      </c>
      <c r="K478" t="s" s="1">
        <v>766</v>
      </c>
      <c r="L478" t="s" s="1">
        <v>134</v>
      </c>
      <c r="M478" t="n" s="5">
        <v>1754.0</v>
      </c>
      <c r="N478" t="n" s="7">
        <v>44193.0</v>
      </c>
      <c r="O478" t="n" s="7">
        <v>44196.0</v>
      </c>
      <c r="P478" t="s" s="1">
        <v>3499</v>
      </c>
    </row>
    <row r="479" spans="1:16">
      <c r="A479" t="n" s="4">
        <v>474</v>
      </c>
      <c r="B479" s="2">
        <f>HYPERLINK("https://my.zakupki.prom.ua/remote/dispatcher/state_purchase_view/22732581", "UA-2020-12-28-013109-c")</f>
        <v/>
      </c>
      <c r="C479" t="s" s="2">
        <v>3245</v>
      </c>
      <c r="D479" s="2">
        <f>HYPERLINK("https://my.zakupki.prom.ua/remote/dispatcher/state_contracting_view/7130542", "UA-2020-12-28-013109-c-c1")</f>
        <v/>
      </c>
      <c r="E479" t="s" s="1">
        <v>2153</v>
      </c>
      <c r="F479" t="s" s="1">
        <v>3077</v>
      </c>
      <c r="G479" t="s" s="1">
        <v>3077</v>
      </c>
      <c r="H479" t="s" s="1">
        <v>1026</v>
      </c>
      <c r="I479" t="s" s="1">
        <v>2361</v>
      </c>
      <c r="J479" t="s" s="1">
        <v>3420</v>
      </c>
      <c r="K479" t="s" s="1">
        <v>535</v>
      </c>
      <c r="L479" t="s" s="1">
        <v>3367</v>
      </c>
      <c r="M479" t="n" s="5">
        <v>90.0</v>
      </c>
      <c r="N479" t="n" s="7">
        <v>44193.0</v>
      </c>
      <c r="O479" t="n" s="7">
        <v>44196.0</v>
      </c>
      <c r="P479" t="s" s="1">
        <v>3499</v>
      </c>
    </row>
    <row r="480" spans="1:16">
      <c r="A480" t="n" s="4">
        <v>475</v>
      </c>
      <c r="B480" s="2">
        <f>HYPERLINK("https://my.zakupki.prom.ua/remote/dispatcher/state_purchase_view/20888768", "UA-2020-11-09-005295-c")</f>
        <v/>
      </c>
      <c r="C480" t="s" s="2">
        <v>3245</v>
      </c>
      <c r="D480" s="2">
        <f>HYPERLINK("https://my.zakupki.prom.ua/remote/dispatcher/state_contracting_view/6255321", "UA-2020-11-09-005295-c-c1")</f>
        <v/>
      </c>
      <c r="E480" t="s" s="1">
        <v>2050</v>
      </c>
      <c r="F480" t="s" s="1">
        <v>2738</v>
      </c>
      <c r="G480" t="s" s="1">
        <v>2738</v>
      </c>
      <c r="H480" t="s" s="1">
        <v>688</v>
      </c>
      <c r="I480" t="s" s="1">
        <v>2361</v>
      </c>
      <c r="J480" t="s" s="1">
        <v>2356</v>
      </c>
      <c r="K480" t="s" s="1">
        <v>424</v>
      </c>
      <c r="L480" t="s" s="1">
        <v>1667</v>
      </c>
      <c r="M480" t="n" s="5">
        <v>15700.0</v>
      </c>
      <c r="N480" t="n" s="7">
        <v>44144.0</v>
      </c>
      <c r="O480" t="n" s="7">
        <v>44196.0</v>
      </c>
      <c r="P480" t="s" s="1">
        <v>3499</v>
      </c>
    </row>
    <row r="481" spans="1:16">
      <c r="A481" t="n" s="4">
        <v>476</v>
      </c>
      <c r="B481" s="2">
        <f>HYPERLINK("https://my.zakupki.prom.ua/remote/dispatcher/state_purchase_view/15892547", "UA-2020-03-20-004584-b")</f>
        <v/>
      </c>
      <c r="C481" t="s" s="2">
        <v>3245</v>
      </c>
      <c r="D481" s="2">
        <f>HYPERLINK("https://my.zakupki.prom.ua/remote/dispatcher/state_contracting_view/3978715", "UA-2020-03-20-004584-b-b1")</f>
        <v/>
      </c>
      <c r="E481" t="s" s="1">
        <v>1550</v>
      </c>
      <c r="F481" t="s" s="1">
        <v>627</v>
      </c>
      <c r="G481" t="s" s="1">
        <v>3233</v>
      </c>
      <c r="H481" t="s" s="1">
        <v>626</v>
      </c>
      <c r="I481" t="s" s="1">
        <v>2361</v>
      </c>
      <c r="J481" t="s" s="1">
        <v>3393</v>
      </c>
      <c r="K481" t="s" s="1">
        <v>671</v>
      </c>
      <c r="L481" t="s" s="1">
        <v>173</v>
      </c>
      <c r="M481" t="n" s="5">
        <v>15195.23</v>
      </c>
      <c r="N481" t="n" s="7">
        <v>43910.0</v>
      </c>
      <c r="O481" t="n" s="7">
        <v>44196.0</v>
      </c>
      <c r="P481" t="s" s="1">
        <v>3499</v>
      </c>
    </row>
    <row r="482" spans="1:16">
      <c r="A482" t="n" s="4">
        <v>477</v>
      </c>
      <c r="B482" s="2">
        <f>HYPERLINK("https://my.zakupki.prom.ua/remote/dispatcher/state_purchase_view/16218588", "UA-2020-04-10-003405-b")</f>
        <v/>
      </c>
      <c r="C482" t="s" s="2">
        <v>3245</v>
      </c>
      <c r="D482" s="2">
        <f>HYPERLINK("https://my.zakupki.prom.ua/remote/dispatcher/state_contracting_view/4091381", "UA-2020-04-10-003405-b-b1")</f>
        <v/>
      </c>
      <c r="E482" t="s" s="1">
        <v>1289</v>
      </c>
      <c r="F482" t="s" s="1">
        <v>2333</v>
      </c>
      <c r="G482" t="s" s="1">
        <v>2333</v>
      </c>
      <c r="H482" t="s" s="1">
        <v>703</v>
      </c>
      <c r="I482" t="s" s="1">
        <v>2361</v>
      </c>
      <c r="J482" t="s" s="1">
        <v>3392</v>
      </c>
      <c r="K482" t="s" s="1">
        <v>428</v>
      </c>
      <c r="L482" t="s" s="1">
        <v>140</v>
      </c>
      <c r="M482" t="n" s="5">
        <v>18403.35</v>
      </c>
      <c r="N482" t="n" s="7">
        <v>43930.0</v>
      </c>
      <c r="O482" t="n" s="7">
        <v>44196.0</v>
      </c>
      <c r="P482" t="s" s="1">
        <v>3499</v>
      </c>
    </row>
    <row r="483" spans="1:16">
      <c r="A483" t="n" s="4">
        <v>478</v>
      </c>
      <c r="B483" s="2">
        <f>HYPERLINK("https://my.zakupki.prom.ua/remote/dispatcher/state_purchase_view/15319948", "UA-2020-02-17-001081-a")</f>
        <v/>
      </c>
      <c r="C483" t="s" s="2">
        <v>3245</v>
      </c>
      <c r="D483" s="2">
        <f>HYPERLINK("https://my.zakupki.prom.ua/remote/dispatcher/state_contracting_view/3809257", "UA-2020-02-17-001081-a-a1")</f>
        <v/>
      </c>
      <c r="E483" t="s" s="1">
        <v>1915</v>
      </c>
      <c r="F483" t="s" s="1">
        <v>718</v>
      </c>
      <c r="G483" t="s" s="1">
        <v>718</v>
      </c>
      <c r="H483" t="s" s="1">
        <v>718</v>
      </c>
      <c r="I483" t="s" s="1">
        <v>2361</v>
      </c>
      <c r="J483" t="s" s="1">
        <v>3392</v>
      </c>
      <c r="K483" t="s" s="1">
        <v>428</v>
      </c>
      <c r="L483" t="s" s="1">
        <v>622</v>
      </c>
      <c r="M483" t="n" s="5">
        <v>2470.27</v>
      </c>
      <c r="N483" t="n" s="7">
        <v>43874.0</v>
      </c>
      <c r="O483" t="n" s="7">
        <v>44196.0</v>
      </c>
      <c r="P483" t="s" s="1">
        <v>3499</v>
      </c>
    </row>
    <row r="484" spans="1:16">
      <c r="A484" t="n" s="4">
        <v>479</v>
      </c>
      <c r="B484" s="2">
        <f>HYPERLINK("https://my.zakupki.prom.ua/remote/dispatcher/state_purchase_view/17488754", "UA-2020-06-24-011982-a")</f>
        <v/>
      </c>
      <c r="C484" t="s" s="2">
        <v>3245</v>
      </c>
      <c r="D484" s="2">
        <f>HYPERLINK("https://my.zakupki.prom.ua/remote/dispatcher/state_contracting_view/4647863", "UA-2020-06-24-011982-a-a1")</f>
        <v/>
      </c>
      <c r="E484" t="s" s="1">
        <v>1362</v>
      </c>
      <c r="F484" t="s" s="1">
        <v>2452</v>
      </c>
      <c r="G484" t="s" s="1">
        <v>2452</v>
      </c>
      <c r="H484" t="s" s="1">
        <v>718</v>
      </c>
      <c r="I484" t="s" s="1">
        <v>2361</v>
      </c>
      <c r="J484" t="s" s="1">
        <v>3392</v>
      </c>
      <c r="K484" t="s" s="1">
        <v>428</v>
      </c>
      <c r="L484" t="s" s="1">
        <v>382</v>
      </c>
      <c r="M484" t="n" s="5">
        <v>100.31</v>
      </c>
      <c r="N484" t="n" s="7">
        <v>44005.0</v>
      </c>
      <c r="O484" t="n" s="7">
        <v>44196.0</v>
      </c>
      <c r="P484" t="s" s="1">
        <v>3499</v>
      </c>
    </row>
    <row r="485" spans="1:16">
      <c r="A485" t="n" s="4">
        <v>480</v>
      </c>
      <c r="B485" s="2">
        <f>HYPERLINK("https://my.zakupki.prom.ua/remote/dispatcher/state_purchase_view/17488975", "UA-2020-06-24-012067-a")</f>
        <v/>
      </c>
      <c r="C485" t="s" s="2">
        <v>3245</v>
      </c>
      <c r="D485" s="2">
        <f>HYPERLINK("https://my.zakupki.prom.ua/remote/dispatcher/state_contracting_view/4647910", "UA-2020-06-24-012067-a-a1")</f>
        <v/>
      </c>
      <c r="E485" t="s" s="1">
        <v>2038</v>
      </c>
      <c r="F485" t="s" s="1">
        <v>2471</v>
      </c>
      <c r="G485" t="s" s="1">
        <v>2471</v>
      </c>
      <c r="H485" t="s" s="1">
        <v>718</v>
      </c>
      <c r="I485" t="s" s="1">
        <v>2361</v>
      </c>
      <c r="J485" t="s" s="1">
        <v>3392</v>
      </c>
      <c r="K485" t="s" s="1">
        <v>428</v>
      </c>
      <c r="L485" t="s" s="1">
        <v>389</v>
      </c>
      <c r="M485" t="n" s="5">
        <v>7786.9</v>
      </c>
      <c r="N485" t="n" s="7">
        <v>44005.0</v>
      </c>
      <c r="O485" t="n" s="7">
        <v>44196.0</v>
      </c>
      <c r="P485" t="s" s="1">
        <v>3499</v>
      </c>
    </row>
    <row r="486" spans="1:16">
      <c r="A486" t="n" s="4">
        <v>481</v>
      </c>
      <c r="B486" s="2">
        <f>HYPERLINK("https://my.zakupki.prom.ua/remote/dispatcher/state_purchase_view/17593860", "UA-2020-07-01-008940-a")</f>
        <v/>
      </c>
      <c r="C486" t="s" s="2">
        <v>3245</v>
      </c>
      <c r="D486" s="2">
        <f>HYPERLINK("https://my.zakupki.prom.ua/remote/dispatcher/state_contracting_view/4697000", "UA-2020-07-01-008940-a-a1")</f>
        <v/>
      </c>
      <c r="E486" t="s" s="1">
        <v>1628</v>
      </c>
      <c r="F486" t="s" s="1">
        <v>2489</v>
      </c>
      <c r="G486" t="s" s="1">
        <v>2489</v>
      </c>
      <c r="H486" t="s" s="1">
        <v>703</v>
      </c>
      <c r="I486" t="s" s="1">
        <v>2361</v>
      </c>
      <c r="J486" t="s" s="1">
        <v>3418</v>
      </c>
      <c r="K486" t="s" s="1">
        <v>949</v>
      </c>
      <c r="L486" t="s" s="1">
        <v>3186</v>
      </c>
      <c r="M486" t="n" s="5">
        <v>4025.0</v>
      </c>
      <c r="N486" t="n" s="7">
        <v>44012.0</v>
      </c>
      <c r="O486" t="n" s="7">
        <v>44196.0</v>
      </c>
      <c r="P486" t="s" s="1">
        <v>3499</v>
      </c>
    </row>
    <row r="487" spans="1:16">
      <c r="A487" t="n" s="4">
        <v>482</v>
      </c>
      <c r="B487" s="2">
        <f>HYPERLINK("https://my.zakupki.prom.ua/remote/dispatcher/state_purchase_view/17593985", "UA-2020-07-01-008978-a")</f>
        <v/>
      </c>
      <c r="C487" t="s" s="2">
        <v>3245</v>
      </c>
      <c r="D487" s="2">
        <f>HYPERLINK("https://my.zakupki.prom.ua/remote/dispatcher/state_contracting_view/4697068", "UA-2020-07-01-008978-a-a1")</f>
        <v/>
      </c>
      <c r="E487" t="s" s="1">
        <v>1590</v>
      </c>
      <c r="F487" t="s" s="1">
        <v>2482</v>
      </c>
      <c r="G487" t="s" s="1">
        <v>2482</v>
      </c>
      <c r="H487" t="s" s="1">
        <v>855</v>
      </c>
      <c r="I487" t="s" s="1">
        <v>2361</v>
      </c>
      <c r="J487" t="s" s="1">
        <v>3418</v>
      </c>
      <c r="K487" t="s" s="1">
        <v>949</v>
      </c>
      <c r="L487" t="s" s="1">
        <v>3184</v>
      </c>
      <c r="M487" t="n" s="5">
        <v>20950.0</v>
      </c>
      <c r="N487" t="n" s="7">
        <v>44012.0</v>
      </c>
      <c r="O487" t="n" s="7">
        <v>44196.0</v>
      </c>
      <c r="P487" t="s" s="1">
        <v>3499</v>
      </c>
    </row>
    <row r="488" spans="1:16">
      <c r="A488" t="n" s="4">
        <v>483</v>
      </c>
      <c r="B488" s="2">
        <f>HYPERLINK("https://my.zakupki.prom.ua/remote/dispatcher/state_purchase_view/18601157", "UA-2020-08-17-007564-a")</f>
        <v/>
      </c>
      <c r="C488" t="s" s="2">
        <v>3245</v>
      </c>
      <c r="D488" s="2">
        <f>HYPERLINK("https://my.zakupki.prom.ua/remote/dispatcher/state_contracting_view/5166370", "UA-2020-08-17-007564-a-a1")</f>
        <v/>
      </c>
      <c r="E488" t="s" s="1">
        <v>1839</v>
      </c>
      <c r="F488" t="s" s="1">
        <v>2750</v>
      </c>
      <c r="G488" t="s" s="1">
        <v>2750</v>
      </c>
      <c r="H488" t="s" s="1">
        <v>690</v>
      </c>
      <c r="I488" t="s" s="1">
        <v>2361</v>
      </c>
      <c r="J488" t="s" s="1">
        <v>2357</v>
      </c>
      <c r="K488" t="s" s="1">
        <v>713</v>
      </c>
      <c r="L488" t="s" s="1">
        <v>1099</v>
      </c>
      <c r="M488" t="n" s="5">
        <v>10650.0</v>
      </c>
      <c r="N488" t="n" s="7">
        <v>44060.0</v>
      </c>
      <c r="O488" t="n" s="7">
        <v>44196.0</v>
      </c>
      <c r="P488" t="s" s="1">
        <v>3499</v>
      </c>
    </row>
    <row r="489" spans="1:16">
      <c r="A489" t="n" s="4">
        <v>484</v>
      </c>
      <c r="B489" s="2">
        <f>HYPERLINK("https://my.zakupki.prom.ua/remote/dispatcher/state_purchase_view/20824501", "UA-2020-11-06-001643-c")</f>
        <v/>
      </c>
      <c r="C489" t="s" s="2">
        <v>3245</v>
      </c>
      <c r="D489" s="2">
        <f>HYPERLINK("https://my.zakupki.prom.ua/remote/dispatcher/state_contracting_view/6224339", "UA-2020-11-06-001643-c-c1")</f>
        <v/>
      </c>
      <c r="E489" t="s" s="1">
        <v>2090</v>
      </c>
      <c r="F489" t="s" s="1">
        <v>2653</v>
      </c>
      <c r="G489" t="s" s="1">
        <v>2653</v>
      </c>
      <c r="H489" t="s" s="1">
        <v>438</v>
      </c>
      <c r="I489" t="s" s="1">
        <v>2361</v>
      </c>
      <c r="J489" t="s" s="1">
        <v>2286</v>
      </c>
      <c r="K489" t="s" s="1">
        <v>54</v>
      </c>
      <c r="L489" t="s" s="1">
        <v>258</v>
      </c>
      <c r="M489" t="n" s="5">
        <v>702000.0</v>
      </c>
      <c r="N489" t="n" s="7">
        <v>44140.0</v>
      </c>
      <c r="O489" t="n" s="7">
        <v>44196.0</v>
      </c>
      <c r="P489" t="s" s="1">
        <v>3499</v>
      </c>
    </row>
    <row r="490" spans="1:16">
      <c r="A490" t="n" s="4">
        <v>485</v>
      </c>
      <c r="B490" s="2">
        <f>HYPERLINK("https://my.zakupki.prom.ua/remote/dispatcher/state_purchase_view/20532044", "UA-2020-10-28-000193-a")</f>
        <v/>
      </c>
      <c r="C490" t="s" s="2">
        <v>3245</v>
      </c>
      <c r="D490" s="2">
        <f>HYPERLINK("https://my.zakupki.prom.ua/remote/dispatcher/state_contracting_view/6085814", "UA-2020-10-28-000193-a-a1")</f>
        <v/>
      </c>
      <c r="E490" t="s" s="1">
        <v>433</v>
      </c>
      <c r="F490" t="s" s="1">
        <v>2697</v>
      </c>
      <c r="G490" t="s" s="1">
        <v>2697</v>
      </c>
      <c r="H490" t="s" s="1">
        <v>602</v>
      </c>
      <c r="I490" t="s" s="1">
        <v>2361</v>
      </c>
      <c r="J490" t="s" s="1">
        <v>3384</v>
      </c>
      <c r="K490" t="s" s="1">
        <v>930</v>
      </c>
      <c r="L490" t="s" s="1">
        <v>105</v>
      </c>
      <c r="M490" t="n" s="5">
        <v>9540.0</v>
      </c>
      <c r="N490" t="n" s="7">
        <v>44131.0</v>
      </c>
      <c r="O490" t="n" s="7">
        <v>44196.0</v>
      </c>
      <c r="P490" t="s" s="1">
        <v>3499</v>
      </c>
    </row>
    <row r="491" spans="1:16">
      <c r="A491" t="n" s="4">
        <v>486</v>
      </c>
      <c r="B491" s="2">
        <f>HYPERLINK("https://my.zakupki.prom.ua/remote/dispatcher/state_purchase_view/20624044", "UA-2020-10-30-003873-c")</f>
        <v/>
      </c>
      <c r="C491" t="s" s="2">
        <v>3245</v>
      </c>
      <c r="D491" s="2">
        <f>HYPERLINK("https://my.zakupki.prom.ua/remote/dispatcher/state_contracting_view/6129534", "UA-2020-10-30-003873-c-c1")</f>
        <v/>
      </c>
      <c r="E491" t="s" s="1">
        <v>888</v>
      </c>
      <c r="F491" t="s" s="1">
        <v>3126</v>
      </c>
      <c r="G491" t="s" s="1">
        <v>3126</v>
      </c>
      <c r="H491" t="s" s="1">
        <v>1496</v>
      </c>
      <c r="I491" t="s" s="1">
        <v>2361</v>
      </c>
      <c r="J491" t="s" s="1">
        <v>2294</v>
      </c>
      <c r="K491" t="s" s="1">
        <v>288</v>
      </c>
      <c r="L491" t="s" s="1">
        <v>18</v>
      </c>
      <c r="M491" t="n" s="5">
        <v>10983.0</v>
      </c>
      <c r="N491" t="n" s="7">
        <v>44133.0</v>
      </c>
      <c r="O491" t="n" s="7">
        <v>44196.0</v>
      </c>
      <c r="P491" t="s" s="1">
        <v>3499</v>
      </c>
    </row>
    <row r="492" spans="1:16">
      <c r="A492" t="n" s="4">
        <v>487</v>
      </c>
      <c r="B492" s="2">
        <f>HYPERLINK("https://my.zakupki.prom.ua/remote/dispatcher/state_purchase_view/20650401", "UA-2020-11-02-002217-c")</f>
        <v/>
      </c>
      <c r="C492" t="s" s="2">
        <v>3245</v>
      </c>
      <c r="D492" s="2">
        <f>HYPERLINK("https://my.zakupki.prom.ua/remote/dispatcher/state_contracting_view/6141648", "UA-2020-11-02-002217-c-c1")</f>
        <v/>
      </c>
      <c r="E492" t="s" s="1">
        <v>2074</v>
      </c>
      <c r="F492" t="s" s="1">
        <v>2671</v>
      </c>
      <c r="G492" t="s" s="1">
        <v>2671</v>
      </c>
      <c r="H492" t="s" s="1">
        <v>445</v>
      </c>
      <c r="I492" t="s" s="1">
        <v>2361</v>
      </c>
      <c r="J492" t="s" s="1">
        <v>3418</v>
      </c>
      <c r="K492" t="s" s="1">
        <v>949</v>
      </c>
      <c r="L492" t="s" s="1">
        <v>3196</v>
      </c>
      <c r="M492" t="n" s="5">
        <v>420.0</v>
      </c>
      <c r="N492" t="n" s="7">
        <v>44137.0</v>
      </c>
      <c r="O492" t="n" s="7">
        <v>44196.0</v>
      </c>
      <c r="P492" t="s" s="1">
        <v>3499</v>
      </c>
    </row>
    <row r="493" spans="1:16">
      <c r="A493" t="n" s="4">
        <v>488</v>
      </c>
      <c r="B493" s="2">
        <f>HYPERLINK("https://my.zakupki.prom.ua/remote/dispatcher/state_purchase_view/20651051", "UA-2020-11-02-002419-c")</f>
        <v/>
      </c>
      <c r="C493" t="s" s="2">
        <v>3245</v>
      </c>
      <c r="D493" s="2">
        <f>HYPERLINK("https://my.zakupki.prom.ua/remote/dispatcher/state_contracting_view/6142019", "UA-2020-11-02-002419-c-c1")</f>
        <v/>
      </c>
      <c r="E493" t="s" s="1">
        <v>2245</v>
      </c>
      <c r="F493" t="s" s="1">
        <v>2672</v>
      </c>
      <c r="G493" t="s" s="1">
        <v>3505</v>
      </c>
      <c r="H493" t="s" s="1">
        <v>445</v>
      </c>
      <c r="I493" t="s" s="1">
        <v>2361</v>
      </c>
      <c r="J493" t="s" s="1">
        <v>3418</v>
      </c>
      <c r="K493" t="s" s="1">
        <v>949</v>
      </c>
      <c r="L493" t="s" s="1">
        <v>3195</v>
      </c>
      <c r="M493" t="n" s="5">
        <v>4398.0</v>
      </c>
      <c r="N493" t="n" s="7">
        <v>44137.0</v>
      </c>
      <c r="O493" t="n" s="7">
        <v>44196.0</v>
      </c>
      <c r="P493" t="s" s="1">
        <v>3499</v>
      </c>
    </row>
    <row r="494" spans="1:16">
      <c r="A494" t="n" s="4">
        <v>489</v>
      </c>
      <c r="B494" s="2">
        <f>HYPERLINK("https://my.zakupki.prom.ua/remote/dispatcher/state_purchase_view/20652453", "UA-2020-11-02-002797-c")</f>
        <v/>
      </c>
      <c r="C494" t="s" s="2">
        <v>3245</v>
      </c>
      <c r="D494" s="2">
        <f>HYPERLINK("https://my.zakupki.prom.ua/remote/dispatcher/state_contracting_view/6142931", "UA-2020-11-02-002797-c-c1")</f>
        <v/>
      </c>
      <c r="E494" t="s" s="1">
        <v>67</v>
      </c>
      <c r="F494" t="s" s="1">
        <v>2670</v>
      </c>
      <c r="G494" t="s" s="1">
        <v>2670</v>
      </c>
      <c r="H494" t="s" s="1">
        <v>445</v>
      </c>
      <c r="I494" t="s" s="1">
        <v>2361</v>
      </c>
      <c r="J494" t="s" s="1">
        <v>3418</v>
      </c>
      <c r="K494" t="s" s="1">
        <v>949</v>
      </c>
      <c r="L494" t="s" s="1">
        <v>3198</v>
      </c>
      <c r="M494" t="n" s="5">
        <v>840.0</v>
      </c>
      <c r="N494" t="n" s="7">
        <v>44137.0</v>
      </c>
      <c r="O494" t="n" s="7">
        <v>44196.0</v>
      </c>
      <c r="P494" t="s" s="1">
        <v>3499</v>
      </c>
    </row>
    <row r="495" spans="1:16">
      <c r="A495" t="n" s="4">
        <v>490</v>
      </c>
      <c r="B495" s="2">
        <f>HYPERLINK("https://my.zakupki.prom.ua/remote/dispatcher/state_purchase_view/20708064", "UA-2020-11-03-007247-c")</f>
        <v/>
      </c>
      <c r="C495" t="s" s="2">
        <v>3245</v>
      </c>
      <c r="D495" s="2">
        <f>HYPERLINK("https://my.zakupki.prom.ua/remote/dispatcher/state_contracting_view/6168923", "UA-2020-11-03-007247-c-c1")</f>
        <v/>
      </c>
      <c r="E495" t="s" s="1">
        <v>1886</v>
      </c>
      <c r="F495" t="s" s="1">
        <v>2929</v>
      </c>
      <c r="G495" t="s" s="1">
        <v>3565</v>
      </c>
      <c r="H495" t="s" s="1">
        <v>718</v>
      </c>
      <c r="I495" t="s" s="1">
        <v>2361</v>
      </c>
      <c r="J495" t="s" s="1">
        <v>3402</v>
      </c>
      <c r="K495" t="s" s="1">
        <v>375</v>
      </c>
      <c r="L495" t="s" s="1">
        <v>663</v>
      </c>
      <c r="M495" t="n" s="5">
        <v>30500.0</v>
      </c>
      <c r="N495" t="n" s="7">
        <v>44138.0</v>
      </c>
      <c r="O495" t="n" s="7">
        <v>44196.0</v>
      </c>
      <c r="P495" t="s" s="1">
        <v>3499</v>
      </c>
    </row>
    <row r="496" spans="1:16">
      <c r="A496" t="n" s="4">
        <v>491</v>
      </c>
      <c r="B496" s="2">
        <f>HYPERLINK("https://my.zakupki.prom.ua/remote/dispatcher/state_purchase_view/16490325", "UA-2020-04-28-001103-b")</f>
        <v/>
      </c>
      <c r="C496" t="s" s="2">
        <v>3245</v>
      </c>
      <c r="D496" s="2">
        <f>HYPERLINK("https://my.zakupki.prom.ua/remote/dispatcher/state_contracting_view/4197929", "UA-2020-04-28-001103-b-b1")</f>
        <v/>
      </c>
      <c r="E496" t="s" s="1">
        <v>900</v>
      </c>
      <c r="F496" t="s" s="1">
        <v>3508</v>
      </c>
      <c r="G496" t="s" s="1">
        <v>3509</v>
      </c>
      <c r="H496" t="s" s="1">
        <v>445</v>
      </c>
      <c r="I496" t="s" s="1">
        <v>2361</v>
      </c>
      <c r="J496" t="s" s="1">
        <v>3417</v>
      </c>
      <c r="K496" t="s" s="1">
        <v>950</v>
      </c>
      <c r="L496" t="s" s="1">
        <v>3178</v>
      </c>
      <c r="M496" t="n" s="5">
        <v>4450.0</v>
      </c>
      <c r="N496" t="n" s="7">
        <v>43949.0</v>
      </c>
      <c r="O496" t="n" s="7">
        <v>44196.0</v>
      </c>
      <c r="P496" t="s" s="1">
        <v>3499</v>
      </c>
    </row>
    <row r="497" spans="1:16">
      <c r="A497" t="n" s="4">
        <v>492</v>
      </c>
      <c r="B497" s="2">
        <f>HYPERLINK("https://my.zakupki.prom.ua/remote/dispatcher/state_purchase_view/17068935", "UA-2020-06-05-000337-b")</f>
        <v/>
      </c>
      <c r="C497" t="s" s="2">
        <v>3245</v>
      </c>
      <c r="D497" s="2">
        <f>HYPERLINK("https://my.zakupki.prom.ua/remote/dispatcher/state_contracting_view/4454318", "UA-2020-06-05-000337-b-b1")</f>
        <v/>
      </c>
      <c r="E497" t="s" s="1">
        <v>1238</v>
      </c>
      <c r="F497" t="s" s="1">
        <v>869</v>
      </c>
      <c r="G497" t="s" s="1">
        <v>869</v>
      </c>
      <c r="H497" t="s" s="1">
        <v>868</v>
      </c>
      <c r="I497" t="s" s="1">
        <v>2361</v>
      </c>
      <c r="J497" t="s" s="1">
        <v>3393</v>
      </c>
      <c r="K497" t="s" s="1">
        <v>671</v>
      </c>
      <c r="L497" t="s" s="1">
        <v>623</v>
      </c>
      <c r="M497" t="n" s="5">
        <v>3996.0</v>
      </c>
      <c r="N497" t="n" s="7">
        <v>43986.0</v>
      </c>
      <c r="O497" t="n" s="7">
        <v>44196.0</v>
      </c>
      <c r="P497" t="s" s="1">
        <v>3499</v>
      </c>
    </row>
    <row r="498" spans="1:16">
      <c r="A498" t="n" s="4">
        <v>493</v>
      </c>
      <c r="B498" s="2">
        <f>HYPERLINK("https://my.zakupki.prom.ua/remote/dispatcher/state_purchase_view/16356153", "UA-2020-04-16-007727-b")</f>
        <v/>
      </c>
      <c r="C498" t="s" s="2">
        <v>3245</v>
      </c>
      <c r="D498" s="2">
        <f>HYPERLINK("https://my.zakupki.prom.ua/remote/dispatcher/state_contracting_view/4140115", "UA-2020-04-16-007727-b-b1")</f>
        <v/>
      </c>
      <c r="E498" t="s" s="1">
        <v>2104</v>
      </c>
      <c r="F498" t="s" s="1">
        <v>704</v>
      </c>
      <c r="G498" t="s" s="1">
        <v>704</v>
      </c>
      <c r="H498" t="s" s="1">
        <v>703</v>
      </c>
      <c r="I498" t="s" s="1">
        <v>2361</v>
      </c>
      <c r="J498" t="s" s="1">
        <v>3218</v>
      </c>
      <c r="K498" t="s" s="1">
        <v>645</v>
      </c>
      <c r="L498" t="s" s="1">
        <v>37</v>
      </c>
      <c r="M498" t="n" s="5">
        <v>100000.0</v>
      </c>
      <c r="N498" t="n" s="7">
        <v>43937.0</v>
      </c>
      <c r="O498" t="n" s="7">
        <v>44196.0</v>
      </c>
      <c r="P498" t="s" s="1">
        <v>3499</v>
      </c>
    </row>
    <row r="499" spans="1:16">
      <c r="A499" t="n" s="4">
        <v>494</v>
      </c>
      <c r="B499" s="2">
        <f>HYPERLINK("https://my.zakupki.prom.ua/remote/dispatcher/state_purchase_view/17028909", "UA-2020-06-03-006151-b")</f>
        <v/>
      </c>
      <c r="C499" t="s" s="2">
        <v>3245</v>
      </c>
      <c r="D499" s="2">
        <f>HYPERLINK("https://my.zakupki.prom.ua/remote/dispatcher/state_contracting_view/4436477", "UA-2020-06-03-006151-b-b1")</f>
        <v/>
      </c>
      <c r="E499" t="s" s="1">
        <v>774</v>
      </c>
      <c r="F499" t="s" s="1">
        <v>3159</v>
      </c>
      <c r="G499" t="s" s="1">
        <v>3159</v>
      </c>
      <c r="H499" t="s" s="1">
        <v>693</v>
      </c>
      <c r="I499" t="s" s="1">
        <v>2361</v>
      </c>
      <c r="J499" t="s" s="1">
        <v>3371</v>
      </c>
      <c r="K499" t="s" s="1">
        <v>851</v>
      </c>
      <c r="L499" t="s" s="1">
        <v>3225</v>
      </c>
      <c r="M499" t="n" s="5">
        <v>119070.0</v>
      </c>
      <c r="N499" t="n" s="7">
        <v>43984.0</v>
      </c>
      <c r="O499" t="n" s="7">
        <v>44196.0</v>
      </c>
      <c r="P499" t="s" s="1">
        <v>3499</v>
      </c>
    </row>
    <row r="500" spans="1:16">
      <c r="A500" t="n" s="4">
        <v>495</v>
      </c>
      <c r="B500" s="2">
        <f>HYPERLINK("https://my.zakupki.prom.ua/remote/dispatcher/state_purchase_view/16855951", "UA-2020-05-26-000745-b")</f>
        <v/>
      </c>
      <c r="C500" t="s" s="2">
        <v>3245</v>
      </c>
      <c r="D500" s="2">
        <f>HYPERLINK("https://my.zakupki.prom.ua/remote/dispatcher/state_contracting_view/4358153", "UA-2020-05-26-000745-b-b1")</f>
        <v/>
      </c>
      <c r="E500" t="s" s="1">
        <v>1918</v>
      </c>
      <c r="F500" t="s" s="1">
        <v>2474</v>
      </c>
      <c r="G500" t="s" s="1">
        <v>3454</v>
      </c>
      <c r="H500" t="s" s="1">
        <v>718</v>
      </c>
      <c r="I500" t="s" s="1">
        <v>2361</v>
      </c>
      <c r="J500" t="s" s="1">
        <v>3392</v>
      </c>
      <c r="K500" t="s" s="1">
        <v>428</v>
      </c>
      <c r="L500" t="s" s="1">
        <v>215</v>
      </c>
      <c r="M500" t="n" s="5">
        <v>9662.26</v>
      </c>
      <c r="N500" t="n" s="7">
        <v>43973.0</v>
      </c>
      <c r="O500" t="n" s="7">
        <v>44196.0</v>
      </c>
      <c r="P500" t="s" s="1">
        <v>3499</v>
      </c>
    </row>
    <row r="501" spans="1:16">
      <c r="A501" t="n" s="4">
        <v>496</v>
      </c>
      <c r="B501" s="2">
        <f>HYPERLINK("https://my.zakupki.prom.ua/remote/dispatcher/state_purchase_view/17712770", "UA-2020-07-07-004541-c")</f>
        <v/>
      </c>
      <c r="C501" t="s" s="2">
        <v>3245</v>
      </c>
      <c r="D501" s="2">
        <f>HYPERLINK("https://my.zakupki.prom.ua/remote/dispatcher/state_contracting_view/4752255", "UA-2020-07-07-004541-c-c1")</f>
        <v/>
      </c>
      <c r="E501" t="s" s="1">
        <v>1530</v>
      </c>
      <c r="F501" t="s" s="1">
        <v>2498</v>
      </c>
      <c r="G501" t="s" s="1">
        <v>3494</v>
      </c>
      <c r="H501" t="s" s="1">
        <v>718</v>
      </c>
      <c r="I501" t="s" s="1">
        <v>2361</v>
      </c>
      <c r="J501" t="s" s="1">
        <v>3402</v>
      </c>
      <c r="K501" t="s" s="1">
        <v>375</v>
      </c>
      <c r="L501" t="s" s="1">
        <v>531</v>
      </c>
      <c r="M501" t="n" s="5">
        <v>3196.35</v>
      </c>
      <c r="N501" t="n" s="7">
        <v>44018.0</v>
      </c>
      <c r="O501" t="n" s="7">
        <v>44196.0</v>
      </c>
      <c r="P501" t="s" s="1">
        <v>3499</v>
      </c>
    </row>
    <row r="502" spans="1:16">
      <c r="A502" t="n" s="4">
        <v>497</v>
      </c>
      <c r="B502" s="2">
        <f>HYPERLINK("https://my.zakupki.prom.ua/remote/dispatcher/state_purchase_view/18260190", "UA-2020-08-03-002553-c")</f>
        <v/>
      </c>
      <c r="C502" t="s" s="2">
        <v>3245</v>
      </c>
      <c r="D502" s="2">
        <f>HYPERLINK("https://my.zakupki.prom.ua/remote/dispatcher/state_contracting_view/5006684", "UA-2020-08-03-002553-c-c1")</f>
        <v/>
      </c>
      <c r="E502" t="s" s="1">
        <v>828</v>
      </c>
      <c r="F502" t="s" s="1">
        <v>3112</v>
      </c>
      <c r="G502" t="s" s="1">
        <v>3112</v>
      </c>
      <c r="H502" t="s" s="1">
        <v>1489</v>
      </c>
      <c r="I502" t="s" s="1">
        <v>2361</v>
      </c>
      <c r="J502" t="s" s="1">
        <v>2373</v>
      </c>
      <c r="K502" t="s" s="1">
        <v>41</v>
      </c>
      <c r="L502" t="s" s="1">
        <v>931</v>
      </c>
      <c r="M502" t="n" s="5">
        <v>26027.0</v>
      </c>
      <c r="N502" t="n" s="7">
        <v>44046.0</v>
      </c>
      <c r="O502" t="n" s="7">
        <v>44196.0</v>
      </c>
      <c r="P502" t="s" s="1">
        <v>3499</v>
      </c>
    </row>
    <row r="503" spans="1:16">
      <c r="A503" t="n" s="4">
        <v>498</v>
      </c>
      <c r="B503" s="2">
        <f>HYPERLINK("https://my.zakupki.prom.ua/remote/dispatcher/state_purchase_view/18182742", "UA-2020-07-29-001433-c")</f>
        <v/>
      </c>
      <c r="C503" t="s" s="2">
        <v>3245</v>
      </c>
      <c r="D503" s="2">
        <f>HYPERLINK("https://my.zakupki.prom.ua/remote/dispatcher/state_contracting_view/4971725", "UA-2020-07-29-001433-c-c1")</f>
        <v/>
      </c>
      <c r="E503" t="s" s="1">
        <v>1281</v>
      </c>
      <c r="F503" t="s" s="1">
        <v>2898</v>
      </c>
      <c r="G503" t="s" s="1">
        <v>3526</v>
      </c>
      <c r="H503" t="s" s="1">
        <v>718</v>
      </c>
      <c r="I503" t="s" s="1">
        <v>2361</v>
      </c>
      <c r="J503" t="s" s="1">
        <v>3392</v>
      </c>
      <c r="K503" t="s" s="1">
        <v>428</v>
      </c>
      <c r="L503" t="s" s="1">
        <v>836</v>
      </c>
      <c r="M503" t="n" s="5">
        <v>1350.2</v>
      </c>
      <c r="N503" t="n" s="7">
        <v>44040.0</v>
      </c>
      <c r="O503" t="n" s="7">
        <v>44196.0</v>
      </c>
      <c r="P503" t="s" s="1">
        <v>3499</v>
      </c>
    </row>
    <row r="504" spans="1:16">
      <c r="A504" t="n" s="4">
        <v>499</v>
      </c>
      <c r="B504" s="2">
        <f>HYPERLINK("https://my.zakupki.prom.ua/remote/dispatcher/state_purchase_view/18422914", "UA-2020-08-10-003343-a")</f>
        <v/>
      </c>
      <c r="C504" t="s" s="2">
        <v>3245</v>
      </c>
      <c r="D504" s="2">
        <f>HYPERLINK("https://my.zakupki.prom.ua/remote/dispatcher/state_contracting_view/5082239", "UA-2020-08-10-003343-a-a1")</f>
        <v/>
      </c>
      <c r="E504" t="s" s="1">
        <v>2214</v>
      </c>
      <c r="F504" t="s" s="1">
        <v>3032</v>
      </c>
      <c r="G504" t="s" s="1">
        <v>3032</v>
      </c>
      <c r="H504" t="s" s="1">
        <v>868</v>
      </c>
      <c r="I504" t="s" s="1">
        <v>2361</v>
      </c>
      <c r="J504" t="s" s="1">
        <v>3251</v>
      </c>
      <c r="K504" t="s" s="1">
        <v>486</v>
      </c>
      <c r="L504" t="s" s="1">
        <v>1027</v>
      </c>
      <c r="M504" t="n" s="5">
        <v>7590.0</v>
      </c>
      <c r="N504" t="n" s="7">
        <v>44053.0</v>
      </c>
      <c r="O504" t="n" s="7">
        <v>44196.0</v>
      </c>
      <c r="P504" t="s" s="1">
        <v>3499</v>
      </c>
    </row>
    <row r="505" spans="1:16">
      <c r="A505" t="n" s="4">
        <v>500</v>
      </c>
      <c r="B505" s="2">
        <f>HYPERLINK("https://my.zakupki.prom.ua/remote/dispatcher/state_purchase_view/18267254", "UA-2020-08-03-002236-a")</f>
        <v/>
      </c>
      <c r="C505" t="s" s="2">
        <v>3245</v>
      </c>
      <c r="D505" s="2">
        <f>HYPERLINK("https://my.zakupki.prom.ua/remote/dispatcher/state_contracting_view/5076844", "UA-2020-08-03-002236-a-a1")</f>
        <v/>
      </c>
      <c r="E505" t="s" s="1">
        <v>551</v>
      </c>
      <c r="F505" t="s" s="1">
        <v>2917</v>
      </c>
      <c r="G505" t="s" s="1">
        <v>3552</v>
      </c>
      <c r="H505" t="s" s="1">
        <v>718</v>
      </c>
      <c r="I505" t="s" s="1">
        <v>3313</v>
      </c>
      <c r="J505" t="s" s="1">
        <v>3392</v>
      </c>
      <c r="K505" t="s" s="1">
        <v>428</v>
      </c>
      <c r="L505" t="s" s="1">
        <v>992</v>
      </c>
      <c r="M505" t="n" s="5">
        <v>49932.26</v>
      </c>
      <c r="N505" t="n" s="7">
        <v>44053.0</v>
      </c>
      <c r="O505" t="n" s="7">
        <v>44196.0</v>
      </c>
      <c r="P505" t="s" s="1">
        <v>3499</v>
      </c>
    </row>
    <row r="506" spans="1:16">
      <c r="A506" t="n" s="4">
        <v>501</v>
      </c>
      <c r="B506" s="2">
        <f>HYPERLINK("https://my.zakupki.prom.ua/remote/dispatcher/state_purchase_view/18460240", "UA-2020-08-11-005397-a")</f>
        <v/>
      </c>
      <c r="C506" t="s" s="2">
        <v>3245</v>
      </c>
      <c r="D506" s="2">
        <f>HYPERLINK("https://my.zakupki.prom.ua/remote/dispatcher/state_contracting_view/5153624", "UA-2020-08-11-005397-a-a1")</f>
        <v/>
      </c>
      <c r="E506" t="s" s="1">
        <v>1293</v>
      </c>
      <c r="F506" t="s" s="1">
        <v>2904</v>
      </c>
      <c r="G506" t="s" s="1">
        <v>3538</v>
      </c>
      <c r="H506" t="s" s="1">
        <v>718</v>
      </c>
      <c r="I506" t="s" s="1">
        <v>3313</v>
      </c>
      <c r="J506" t="s" s="1">
        <v>3392</v>
      </c>
      <c r="K506" t="s" s="1">
        <v>428</v>
      </c>
      <c r="L506" t="s" s="1">
        <v>1082</v>
      </c>
      <c r="M506" t="n" s="5">
        <v>6213.66</v>
      </c>
      <c r="N506" t="n" s="7">
        <v>44060.0</v>
      </c>
      <c r="O506" t="n" s="7">
        <v>44196.0</v>
      </c>
      <c r="P506" t="s" s="1">
        <v>3499</v>
      </c>
    </row>
    <row r="507" spans="1:16">
      <c r="A507" t="n" s="4">
        <v>502</v>
      </c>
      <c r="B507" s="2">
        <f>HYPERLINK("https://my.zakupki.prom.ua/remote/dispatcher/state_purchase_view/18313438", "UA-2020-08-05-000390-a")</f>
        <v/>
      </c>
      <c r="C507" t="s" s="2">
        <v>3245</v>
      </c>
      <c r="D507" s="2">
        <f>HYPERLINK("https://my.zakupki.prom.ua/remote/dispatcher/state_contracting_view/5091901", "UA-2020-08-05-000390-a-a1")</f>
        <v/>
      </c>
      <c r="E507" t="s" s="1">
        <v>1923</v>
      </c>
      <c r="F507" t="s" s="1">
        <v>2916</v>
      </c>
      <c r="G507" t="s" s="1">
        <v>3455</v>
      </c>
      <c r="H507" t="s" s="1">
        <v>718</v>
      </c>
      <c r="I507" t="s" s="1">
        <v>3313</v>
      </c>
      <c r="J507" t="s" s="1">
        <v>3392</v>
      </c>
      <c r="K507" t="s" s="1">
        <v>428</v>
      </c>
      <c r="L507" t="s" s="1">
        <v>1043</v>
      </c>
      <c r="M507" t="n" s="5">
        <v>49929.91</v>
      </c>
      <c r="N507" t="n" s="7">
        <v>44054.0</v>
      </c>
      <c r="O507" t="n" s="7">
        <v>44196.0</v>
      </c>
      <c r="P507" t="s" s="1">
        <v>3499</v>
      </c>
    </row>
    <row r="508" spans="1:16">
      <c r="A508" t="n" s="4">
        <v>503</v>
      </c>
      <c r="B508" s="2">
        <f>HYPERLINK("https://my.zakupki.prom.ua/remote/dispatcher/state_purchase_view/18555099", "UA-2020-08-14-003588-a")</f>
        <v/>
      </c>
      <c r="C508" t="s" s="2">
        <v>3245</v>
      </c>
      <c r="D508" s="2">
        <f>HYPERLINK("https://my.zakupki.prom.ua/remote/dispatcher/state_contracting_view/5144742", "UA-2020-08-14-003588-a-a1")</f>
        <v/>
      </c>
      <c r="E508" t="s" s="1">
        <v>2132</v>
      </c>
      <c r="F508" t="s" s="1">
        <v>2620</v>
      </c>
      <c r="G508" t="s" s="1">
        <v>2620</v>
      </c>
      <c r="H508" t="s" s="1">
        <v>225</v>
      </c>
      <c r="I508" t="s" s="1">
        <v>2361</v>
      </c>
      <c r="J508" t="s" s="1">
        <v>3467</v>
      </c>
      <c r="K508" t="s" s="1">
        <v>766</v>
      </c>
      <c r="L508" t="s" s="1">
        <v>1088</v>
      </c>
      <c r="M508" t="n" s="5">
        <v>650.0</v>
      </c>
      <c r="N508" t="n" s="7">
        <v>44057.0</v>
      </c>
      <c r="O508" t="n" s="7">
        <v>44196.0</v>
      </c>
      <c r="P508" t="s" s="1">
        <v>3499</v>
      </c>
    </row>
    <row r="509" spans="1:16">
      <c r="A509" t="n" s="4">
        <v>504</v>
      </c>
      <c r="B509" s="2">
        <f>HYPERLINK("https://my.zakupki.prom.ua/remote/dispatcher/state_purchase_view/17441116", "UA-2020-06-23-004965-a")</f>
        <v/>
      </c>
      <c r="C509" t="s" s="2">
        <v>3245</v>
      </c>
      <c r="D509" s="2">
        <f>HYPERLINK("https://my.zakupki.prom.ua/remote/dispatcher/state_contracting_view/4625738", "UA-2020-06-23-004965-a-a1")</f>
        <v/>
      </c>
      <c r="E509" t="s" s="1">
        <v>234</v>
      </c>
      <c r="F509" t="s" s="1">
        <v>2464</v>
      </c>
      <c r="G509" t="s" s="1">
        <v>2464</v>
      </c>
      <c r="H509" t="s" s="1">
        <v>718</v>
      </c>
      <c r="I509" t="s" s="1">
        <v>2361</v>
      </c>
      <c r="J509" t="s" s="1">
        <v>3392</v>
      </c>
      <c r="K509" t="s" s="1">
        <v>428</v>
      </c>
      <c r="L509" t="s" s="1">
        <v>372</v>
      </c>
      <c r="M509" t="n" s="5">
        <v>551.42</v>
      </c>
      <c r="N509" t="n" s="7">
        <v>44004.0</v>
      </c>
      <c r="O509" t="n" s="7">
        <v>44196.0</v>
      </c>
      <c r="P509" t="s" s="1">
        <v>3499</v>
      </c>
    </row>
    <row r="510" spans="1:16">
      <c r="A510" t="n" s="4">
        <v>505</v>
      </c>
      <c r="B510" s="2">
        <f>HYPERLINK("https://my.zakupki.prom.ua/remote/dispatcher/state_purchase_view/17850134", "UA-2020-07-14-001592-c")</f>
        <v/>
      </c>
      <c r="C510" t="s" s="2">
        <v>3245</v>
      </c>
      <c r="D510" s="2">
        <f>HYPERLINK("https://my.zakupki.prom.ua/remote/dispatcher/state_contracting_view/4815835", "UA-2020-07-14-001592-c-c1")</f>
        <v/>
      </c>
      <c r="E510" t="s" s="1">
        <v>1936</v>
      </c>
      <c r="F510" t="s" s="1">
        <v>2492</v>
      </c>
      <c r="G510" t="s" s="1">
        <v>2492</v>
      </c>
      <c r="H510" t="s" s="1">
        <v>402</v>
      </c>
      <c r="I510" t="s" s="1">
        <v>2361</v>
      </c>
      <c r="J510" t="s" s="1">
        <v>3377</v>
      </c>
      <c r="K510" t="s" s="1">
        <v>722</v>
      </c>
      <c r="L510" t="s" s="1">
        <v>233</v>
      </c>
      <c r="M510" t="n" s="5">
        <v>300.0</v>
      </c>
      <c r="N510" t="n" s="7">
        <v>44025.0</v>
      </c>
      <c r="O510" t="n" s="7">
        <v>44196.0</v>
      </c>
      <c r="P510" t="s" s="1">
        <v>3499</v>
      </c>
    </row>
    <row r="511" spans="1:16">
      <c r="A511" t="n" s="4">
        <v>506</v>
      </c>
      <c r="B511" s="2">
        <f>HYPERLINK("https://my.zakupki.prom.ua/remote/dispatcher/state_purchase_view/17856153", "UA-2020-07-14-003251-c")</f>
        <v/>
      </c>
      <c r="C511" t="s" s="2">
        <v>3245</v>
      </c>
      <c r="D511" s="2">
        <f>HYPERLINK("https://my.zakupki.prom.ua/remote/dispatcher/state_contracting_view/4818606", "UA-2020-07-14-003251-c-c1")</f>
        <v/>
      </c>
      <c r="E511" t="s" s="1">
        <v>1964</v>
      </c>
      <c r="F511" t="s" s="1">
        <v>2858</v>
      </c>
      <c r="G511" t="s" s="1">
        <v>3470</v>
      </c>
      <c r="H511" t="s" s="1">
        <v>718</v>
      </c>
      <c r="I511" t="s" s="1">
        <v>2361</v>
      </c>
      <c r="J511" t="s" s="1">
        <v>3302</v>
      </c>
      <c r="K511" t="s" s="1">
        <v>617</v>
      </c>
      <c r="L511" t="s" s="1">
        <v>633</v>
      </c>
      <c r="M511" t="n" s="5">
        <v>98073.09</v>
      </c>
      <c r="N511" t="n" s="7">
        <v>44022.0</v>
      </c>
      <c r="O511" t="n" s="7">
        <v>44196.0</v>
      </c>
      <c r="P511" t="s" s="1">
        <v>3499</v>
      </c>
    </row>
    <row r="512" spans="1:16">
      <c r="A512" t="n" s="4">
        <v>507</v>
      </c>
      <c r="B512" s="2">
        <f>HYPERLINK("https://my.zakupki.prom.ua/remote/dispatcher/state_purchase_view/17912151", "UA-2020-07-16-000959-c")</f>
        <v/>
      </c>
      <c r="C512" t="s" s="2">
        <v>3245</v>
      </c>
      <c r="D512" s="2">
        <f>HYPERLINK("https://my.zakupki.prom.ua/remote/dispatcher/state_contracting_view/4844407", "UA-2020-07-16-000959-c-c1")</f>
        <v/>
      </c>
      <c r="E512" t="s" s="1">
        <v>1911</v>
      </c>
      <c r="F512" t="s" s="1">
        <v>2788</v>
      </c>
      <c r="G512" t="s" s="1">
        <v>2788</v>
      </c>
      <c r="H512" t="s" s="1">
        <v>690</v>
      </c>
      <c r="I512" t="s" s="1">
        <v>2361</v>
      </c>
      <c r="J512" t="s" s="1">
        <v>3302</v>
      </c>
      <c r="K512" t="s" s="1">
        <v>617</v>
      </c>
      <c r="L512" t="s" s="1">
        <v>1330</v>
      </c>
      <c r="M512" t="n" s="5">
        <v>13920.0</v>
      </c>
      <c r="N512" t="n" s="7">
        <v>44027.0</v>
      </c>
      <c r="O512" t="n" s="7">
        <v>44196.0</v>
      </c>
      <c r="P512" t="s" s="1">
        <v>3499</v>
      </c>
    </row>
    <row r="513" spans="1:16">
      <c r="A513" t="n" s="4">
        <v>508</v>
      </c>
      <c r="B513" s="2">
        <f>HYPERLINK("https://my.zakupki.prom.ua/remote/dispatcher/state_purchase_view/17978774", "UA-2020-07-20-003801-b")</f>
        <v/>
      </c>
      <c r="C513" t="s" s="2">
        <v>3245</v>
      </c>
      <c r="D513" s="2">
        <f>HYPERLINK("https://my.zakupki.prom.ua/remote/dispatcher/state_contracting_view/4875660", "UA-2020-07-20-003801-b-b1")</f>
        <v/>
      </c>
      <c r="E513" t="s" s="1">
        <v>2246</v>
      </c>
      <c r="F513" t="s" s="1">
        <v>2859</v>
      </c>
      <c r="G513" t="s" s="1">
        <v>3471</v>
      </c>
      <c r="H513" t="s" s="1">
        <v>718</v>
      </c>
      <c r="I513" t="s" s="1">
        <v>2361</v>
      </c>
      <c r="J513" t="s" s="1">
        <v>3302</v>
      </c>
      <c r="K513" t="s" s="1">
        <v>617</v>
      </c>
      <c r="L513" t="s" s="1">
        <v>710</v>
      </c>
      <c r="M513" t="n" s="5">
        <v>386131.66</v>
      </c>
      <c r="N513" t="n" s="7">
        <v>44032.0</v>
      </c>
      <c r="O513" t="n" s="7">
        <v>44196.0</v>
      </c>
      <c r="P513" t="s" s="1">
        <v>3499</v>
      </c>
    </row>
    <row r="514" spans="1:16">
      <c r="A514" t="n" s="4">
        <v>509</v>
      </c>
      <c r="B514" s="2">
        <f>HYPERLINK("https://my.zakupki.prom.ua/remote/dispatcher/state_purchase_view/17800154", "UA-2020-07-10-004736-c")</f>
        <v/>
      </c>
      <c r="C514" t="s" s="2">
        <v>3245</v>
      </c>
      <c r="D514" s="2">
        <f>HYPERLINK("https://my.zakupki.prom.ua/remote/dispatcher/state_contracting_view/4792755", "UA-2020-07-10-004736-c-c1")</f>
        <v/>
      </c>
      <c r="E514" t="s" s="1">
        <v>787</v>
      </c>
      <c r="F514" t="s" s="1">
        <v>2872</v>
      </c>
      <c r="G514" t="s" s="1">
        <v>2872</v>
      </c>
      <c r="H514" t="s" s="1">
        <v>718</v>
      </c>
      <c r="I514" t="s" s="1">
        <v>2361</v>
      </c>
      <c r="J514" t="s" s="1">
        <v>3302</v>
      </c>
      <c r="K514" t="s" s="1">
        <v>617</v>
      </c>
      <c r="L514" t="s" s="1">
        <v>614</v>
      </c>
      <c r="M514" t="n" s="5">
        <v>255.8</v>
      </c>
      <c r="N514" t="n" s="7">
        <v>44022.0</v>
      </c>
      <c r="O514" t="n" s="7">
        <v>44196.0</v>
      </c>
      <c r="P514" t="s" s="1">
        <v>3499</v>
      </c>
    </row>
    <row r="515" spans="1:16">
      <c r="A515" t="n" s="4">
        <v>510</v>
      </c>
      <c r="B515" s="2">
        <f>HYPERLINK("https://my.zakupki.prom.ua/remote/dispatcher/state_purchase_view/17831478", "UA-2020-07-13-004466-c")</f>
        <v/>
      </c>
      <c r="C515" t="s" s="2">
        <v>3245</v>
      </c>
      <c r="D515" s="2">
        <f>HYPERLINK("https://my.zakupki.prom.ua/remote/dispatcher/state_contracting_view/4807134", "UA-2020-07-13-004466-c-c1")</f>
        <v/>
      </c>
      <c r="E515" t="s" s="1">
        <v>655</v>
      </c>
      <c r="F515" t="s" s="1">
        <v>3081</v>
      </c>
      <c r="G515" t="s" s="1">
        <v>3081</v>
      </c>
      <c r="H515" t="s" s="1">
        <v>1028</v>
      </c>
      <c r="I515" t="s" s="1">
        <v>2361</v>
      </c>
      <c r="J515" t="s" s="1">
        <v>2286</v>
      </c>
      <c r="K515" t="s" s="1">
        <v>54</v>
      </c>
      <c r="L515" t="s" s="1">
        <v>620</v>
      </c>
      <c r="M515" t="n" s="5">
        <v>42000.0</v>
      </c>
      <c r="N515" t="n" s="7">
        <v>44022.0</v>
      </c>
      <c r="O515" t="n" s="7">
        <v>44196.0</v>
      </c>
      <c r="P515" t="s" s="1">
        <v>3499</v>
      </c>
    </row>
    <row r="516" spans="1:16">
      <c r="A516" t="n" s="4">
        <v>511</v>
      </c>
      <c r="B516" s="2">
        <f>HYPERLINK("https://my.zakupki.prom.ua/remote/dispatcher/state_purchase_view/18097152", "UA-2020-07-24-002719-b")</f>
        <v/>
      </c>
      <c r="C516" t="s" s="2">
        <v>3245</v>
      </c>
      <c r="D516" s="2">
        <f>HYPERLINK("https://my.zakupki.prom.ua/remote/dispatcher/state_contracting_view/4932090", "UA-2020-07-24-002719-b-b1")</f>
        <v/>
      </c>
      <c r="E516" t="s" s="1">
        <v>1894</v>
      </c>
      <c r="F516" t="s" s="1">
        <v>2953</v>
      </c>
      <c r="G516" t="s" s="1">
        <v>2953</v>
      </c>
      <c r="H516" t="s" s="1">
        <v>732</v>
      </c>
      <c r="I516" t="s" s="1">
        <v>2361</v>
      </c>
      <c r="J516" t="s" s="1">
        <v>3392</v>
      </c>
      <c r="K516" t="s" s="1">
        <v>428</v>
      </c>
      <c r="L516" t="s" s="1">
        <v>808</v>
      </c>
      <c r="M516" t="n" s="5">
        <v>5454.77</v>
      </c>
      <c r="N516" t="n" s="7">
        <v>44035.0</v>
      </c>
      <c r="O516" t="n" s="7">
        <v>44196.0</v>
      </c>
      <c r="P516" t="s" s="1">
        <v>3499</v>
      </c>
    </row>
    <row r="517" spans="1:16">
      <c r="A517" t="n" s="4">
        <v>512</v>
      </c>
      <c r="B517" s="2">
        <f>HYPERLINK("https://my.zakupki.prom.ua/remote/dispatcher/state_purchase_view/18121869", "UA-2020-07-27-000373-b")</f>
        <v/>
      </c>
      <c r="C517" t="s" s="2">
        <v>3245</v>
      </c>
      <c r="D517" s="2">
        <f>HYPERLINK("https://my.zakupki.prom.ua/remote/dispatcher/state_contracting_view/4943030", "UA-2020-07-27-000373-b-b1")</f>
        <v/>
      </c>
      <c r="E517" t="s" s="1">
        <v>2254</v>
      </c>
      <c r="F517" t="s" s="1">
        <v>2756</v>
      </c>
      <c r="G517" t="s" s="1">
        <v>2756</v>
      </c>
      <c r="H517" t="s" s="1">
        <v>690</v>
      </c>
      <c r="I517" t="s" s="1">
        <v>2361</v>
      </c>
      <c r="J517" t="s" s="1">
        <v>3392</v>
      </c>
      <c r="K517" t="s" s="1">
        <v>428</v>
      </c>
      <c r="L517" t="s" s="1">
        <v>815</v>
      </c>
      <c r="M517" t="n" s="5">
        <v>6037.56</v>
      </c>
      <c r="N517" t="n" s="7">
        <v>44035.0</v>
      </c>
      <c r="O517" t="n" s="7">
        <v>44196.0</v>
      </c>
      <c r="P517" t="s" s="1">
        <v>3499</v>
      </c>
    </row>
    <row r="518" spans="1:16">
      <c r="A518" t="n" s="4">
        <v>513</v>
      </c>
      <c r="B518" s="2">
        <f>HYPERLINK("https://my.zakupki.prom.ua/remote/dispatcher/state_purchase_view/19242982", "UA-2020-09-14-003782-b")</f>
        <v/>
      </c>
      <c r="C518" t="s" s="2">
        <v>3245</v>
      </c>
      <c r="D518" s="2">
        <f>HYPERLINK("https://my.zakupki.prom.ua/remote/dispatcher/state_contracting_view/5471479", "UA-2020-09-14-003782-b-b1")</f>
        <v/>
      </c>
      <c r="E518" t="s" s="1">
        <v>2069</v>
      </c>
      <c r="F518" t="s" s="1">
        <v>2993</v>
      </c>
      <c r="G518" t="s" s="1">
        <v>2993</v>
      </c>
      <c r="H518" t="s" s="1">
        <v>848</v>
      </c>
      <c r="I518" t="s" s="1">
        <v>2361</v>
      </c>
      <c r="J518" t="s" s="1">
        <v>3251</v>
      </c>
      <c r="K518" t="s" s="1">
        <v>486</v>
      </c>
      <c r="L518" t="s" s="1">
        <v>1319</v>
      </c>
      <c r="M518" t="n" s="5">
        <v>787.48</v>
      </c>
      <c r="N518" t="n" s="7">
        <v>44088.0</v>
      </c>
      <c r="O518" t="n" s="7">
        <v>44196.0</v>
      </c>
      <c r="P518" t="s" s="1">
        <v>3499</v>
      </c>
    </row>
    <row r="519" spans="1:16">
      <c r="A519" t="n" s="4">
        <v>514</v>
      </c>
      <c r="B519" s="2">
        <f>HYPERLINK("https://my.zakupki.prom.ua/remote/dispatcher/state_purchase_view/18985552", "UA-2020-09-03-005905-b")</f>
        <v/>
      </c>
      <c r="C519" t="s" s="2">
        <v>3245</v>
      </c>
      <c r="D519" s="2">
        <f>HYPERLINK("https://my.zakupki.prom.ua/remote/dispatcher/state_contracting_view/5349130", "UA-2020-09-03-005905-b-b1")</f>
        <v/>
      </c>
      <c r="E519" t="s" s="1">
        <v>1571</v>
      </c>
      <c r="F519" t="s" s="1">
        <v>2658</v>
      </c>
      <c r="G519" t="s" s="1">
        <v>2658</v>
      </c>
      <c r="H519" t="s" s="1">
        <v>441</v>
      </c>
      <c r="I519" t="s" s="1">
        <v>2361</v>
      </c>
      <c r="J519" t="s" s="1">
        <v>3300</v>
      </c>
      <c r="K519" t="s" s="1">
        <v>593</v>
      </c>
      <c r="L519" t="s" s="1">
        <v>1218</v>
      </c>
      <c r="M519" t="n" s="5">
        <v>1900.0</v>
      </c>
      <c r="N519" t="n" s="7">
        <v>44076.0</v>
      </c>
      <c r="O519" t="n" s="7">
        <v>44196.0</v>
      </c>
      <c r="P519" t="s" s="1">
        <v>3499</v>
      </c>
    </row>
    <row r="520" spans="1:16">
      <c r="A520" t="n" s="4">
        <v>515</v>
      </c>
      <c r="B520" s="2">
        <f>HYPERLINK("https://my.zakupki.prom.ua/remote/dispatcher/state_purchase_view/19566552", "UA-2020-09-24-005618-a")</f>
        <v/>
      </c>
      <c r="C520" t="s" s="2">
        <v>3245</v>
      </c>
      <c r="D520" s="2">
        <f>HYPERLINK("https://my.zakupki.prom.ua/remote/dispatcher/state_contracting_view/5624124", "UA-2020-09-24-005618-a-a1")</f>
        <v/>
      </c>
      <c r="E520" t="s" s="1">
        <v>323</v>
      </c>
      <c r="F520" t="s" s="1">
        <v>3018</v>
      </c>
      <c r="G520" t="s" s="1">
        <v>3018</v>
      </c>
      <c r="H520" t="s" s="1">
        <v>857</v>
      </c>
      <c r="I520" t="s" s="1">
        <v>2361</v>
      </c>
      <c r="J520" t="s" s="1">
        <v>3253</v>
      </c>
      <c r="K520" t="s" s="1">
        <v>403</v>
      </c>
      <c r="L520" t="s" s="1">
        <v>1385</v>
      </c>
      <c r="M520" t="n" s="5">
        <v>9000.0</v>
      </c>
      <c r="N520" t="n" s="7">
        <v>44098.0</v>
      </c>
      <c r="O520" t="n" s="7">
        <v>44196.0</v>
      </c>
      <c r="P520" t="s" s="1">
        <v>3499</v>
      </c>
    </row>
    <row r="521" spans="1:16">
      <c r="A521" t="n" s="4">
        <v>516</v>
      </c>
      <c r="B521" s="2">
        <f>HYPERLINK("https://my.zakupki.prom.ua/remote/dispatcher/state_purchase_view/19481769", "UA-2020-09-22-006213-b")</f>
        <v/>
      </c>
      <c r="C521" t="s" s="2">
        <v>3245</v>
      </c>
      <c r="D521" s="2">
        <f>HYPERLINK("https://my.zakupki.prom.ua/remote/dispatcher/state_contracting_view/5584118", "UA-2020-09-22-006213-b-b1")</f>
        <v/>
      </c>
      <c r="E521" t="s" s="1">
        <v>2126</v>
      </c>
      <c r="F521" t="s" s="1">
        <v>2785</v>
      </c>
      <c r="G521" t="s" s="1">
        <v>3536</v>
      </c>
      <c r="H521" t="s" s="1">
        <v>690</v>
      </c>
      <c r="I521" t="s" s="1">
        <v>2361</v>
      </c>
      <c r="J521" t="s" s="1">
        <v>3377</v>
      </c>
      <c r="K521" t="s" s="1">
        <v>722</v>
      </c>
      <c r="L521" t="s" s="1">
        <v>449</v>
      </c>
      <c r="M521" t="n" s="5">
        <v>34400.0</v>
      </c>
      <c r="N521" t="n" s="7">
        <v>44096.0</v>
      </c>
      <c r="O521" t="n" s="7">
        <v>44196.0</v>
      </c>
      <c r="P521" t="s" s="1">
        <v>3499</v>
      </c>
    </row>
    <row r="522" spans="1:16">
      <c r="A522" t="n" s="4">
        <v>517</v>
      </c>
      <c r="B522" s="2">
        <f>HYPERLINK("https://my.zakupki.prom.ua/remote/dispatcher/state_purchase_view/19694963", "UA-2020-09-29-006640-a")</f>
        <v/>
      </c>
      <c r="C522" t="s" s="2">
        <v>3245</v>
      </c>
      <c r="D522" s="2">
        <f>HYPERLINK("https://my.zakupki.prom.ua/remote/dispatcher/state_contracting_view/5685651", "UA-2020-09-29-006640-a-a1")</f>
        <v/>
      </c>
      <c r="E522" t="s" s="1">
        <v>746</v>
      </c>
      <c r="F522" t="s" s="1">
        <v>2556</v>
      </c>
      <c r="G522" t="s" s="1">
        <v>2556</v>
      </c>
      <c r="H522" t="s" s="1">
        <v>213</v>
      </c>
      <c r="I522" t="s" s="1">
        <v>2361</v>
      </c>
      <c r="J522" t="s" s="1">
        <v>3467</v>
      </c>
      <c r="K522" t="s" s="1">
        <v>766</v>
      </c>
      <c r="L522" t="s" s="1">
        <v>1405</v>
      </c>
      <c r="M522" t="n" s="5">
        <v>261.0</v>
      </c>
      <c r="N522" t="n" s="7">
        <v>44102.0</v>
      </c>
      <c r="O522" t="n" s="7">
        <v>44196.0</v>
      </c>
      <c r="P522" t="s" s="1">
        <v>3499</v>
      </c>
    </row>
    <row r="523" spans="1:16">
      <c r="A523" t="n" s="4">
        <v>518</v>
      </c>
      <c r="B523" s="2">
        <f>HYPERLINK("https://my.zakupki.prom.ua/remote/dispatcher/state_purchase_view/19657531", "UA-2020-09-28-006334-a")</f>
        <v/>
      </c>
      <c r="C523" t="s" s="2">
        <v>3245</v>
      </c>
      <c r="D523" s="2">
        <f>HYPERLINK("https://my.zakupki.prom.ua/remote/dispatcher/state_contracting_view/5667824", "UA-2020-09-28-006334-a-a1")</f>
        <v/>
      </c>
      <c r="E523" t="s" s="1">
        <v>2266</v>
      </c>
      <c r="F523" t="s" s="1">
        <v>2700</v>
      </c>
      <c r="G523" t="s" s="1">
        <v>2700</v>
      </c>
      <c r="H523" t="s" s="1">
        <v>603</v>
      </c>
      <c r="I523" t="s" s="1">
        <v>2361</v>
      </c>
      <c r="J523" t="s" s="1">
        <v>3384</v>
      </c>
      <c r="K523" t="s" s="1">
        <v>930</v>
      </c>
      <c r="L523" t="s" s="1">
        <v>114</v>
      </c>
      <c r="M523" t="n" s="5">
        <v>200.0</v>
      </c>
      <c r="N523" t="n" s="7">
        <v>44099.0</v>
      </c>
      <c r="O523" t="n" s="7">
        <v>44196.0</v>
      </c>
      <c r="P523" t="s" s="1">
        <v>3499</v>
      </c>
    </row>
    <row r="524" spans="1:16">
      <c r="A524" t="n" s="4">
        <v>519</v>
      </c>
      <c r="B524" s="2">
        <f>HYPERLINK("https://my.zakupki.prom.ua/remote/dispatcher/state_purchase_view/19939747", "UA-2020-10-08-004277-a")</f>
        <v/>
      </c>
      <c r="C524" t="s" s="2">
        <v>3245</v>
      </c>
      <c r="D524" s="2">
        <f>HYPERLINK("https://my.zakupki.prom.ua/remote/dispatcher/state_contracting_view/5800846", "UA-2020-10-08-004277-a-a1")</f>
        <v/>
      </c>
      <c r="E524" t="s" s="1">
        <v>1626</v>
      </c>
      <c r="F524" t="s" s="1">
        <v>2645</v>
      </c>
      <c r="G524" t="s" s="1">
        <v>2645</v>
      </c>
      <c r="H524" t="s" s="1">
        <v>404</v>
      </c>
      <c r="I524" t="s" s="1">
        <v>2361</v>
      </c>
      <c r="J524" t="s" s="1">
        <v>2278</v>
      </c>
      <c r="K524" t="s" s="1">
        <v>494</v>
      </c>
      <c r="L524" t="s" s="1">
        <v>1487</v>
      </c>
      <c r="M524" t="n" s="5">
        <v>4920.0</v>
      </c>
      <c r="N524" t="n" s="7">
        <v>44112.0</v>
      </c>
      <c r="O524" t="n" s="7">
        <v>44196.0</v>
      </c>
      <c r="P524" t="s" s="1">
        <v>3499</v>
      </c>
    </row>
    <row r="525" spans="1:16">
      <c r="A525" t="n" s="4">
        <v>520</v>
      </c>
      <c r="B525" s="2">
        <f>HYPERLINK("https://my.zakupki.prom.ua/remote/dispatcher/state_purchase_view/19118070", "UA-2020-09-09-001786-b")</f>
        <v/>
      </c>
      <c r="C525" t="s" s="2">
        <v>3245</v>
      </c>
      <c r="D525" s="2">
        <f>HYPERLINK("https://my.zakupki.prom.ua/remote/dispatcher/state_contracting_view/5412165", "UA-2020-09-09-001786-b-b1")</f>
        <v/>
      </c>
      <c r="E525" t="s" s="1">
        <v>2171</v>
      </c>
      <c r="F525" t="s" s="1">
        <v>2524</v>
      </c>
      <c r="G525" t="s" s="1">
        <v>2524</v>
      </c>
      <c r="H525" t="s" s="1">
        <v>39</v>
      </c>
      <c r="I525" t="s" s="1">
        <v>2361</v>
      </c>
      <c r="J525" t="s" s="1">
        <v>3467</v>
      </c>
      <c r="K525" t="s" s="1">
        <v>766</v>
      </c>
      <c r="L525" t="s" s="1">
        <v>1253</v>
      </c>
      <c r="M525" t="n" s="5">
        <v>7347.4</v>
      </c>
      <c r="N525" t="n" s="7">
        <v>44081.0</v>
      </c>
      <c r="O525" t="n" s="7">
        <v>44196.0</v>
      </c>
      <c r="P525" t="s" s="1">
        <v>3499</v>
      </c>
    </row>
    <row r="526" spans="1:16">
      <c r="A526" t="n" s="4">
        <v>521</v>
      </c>
      <c r="B526" s="2">
        <f>HYPERLINK("https://my.zakupki.prom.ua/remote/dispatcher/state_purchase_view/19348640", "UA-2020-09-17-002119-a")</f>
        <v/>
      </c>
      <c r="C526" t="s" s="2">
        <v>3245</v>
      </c>
      <c r="D526" s="2">
        <f>HYPERLINK("https://my.zakupki.prom.ua/remote/dispatcher/state_contracting_view/5521728", "UA-2020-09-17-002119-a-a1")</f>
        <v/>
      </c>
      <c r="E526" t="s" s="1">
        <v>61</v>
      </c>
      <c r="F526" t="s" s="1">
        <v>2556</v>
      </c>
      <c r="G526" t="s" s="1">
        <v>2556</v>
      </c>
      <c r="H526" t="s" s="1">
        <v>213</v>
      </c>
      <c r="I526" t="s" s="1">
        <v>2361</v>
      </c>
      <c r="J526" t="s" s="1">
        <v>3467</v>
      </c>
      <c r="K526" t="s" s="1">
        <v>766</v>
      </c>
      <c r="L526" t="s" s="1">
        <v>1328</v>
      </c>
      <c r="M526" t="n" s="5">
        <v>265.0</v>
      </c>
      <c r="N526" t="n" s="7">
        <v>44089.0</v>
      </c>
      <c r="O526" t="n" s="7">
        <v>44196.0</v>
      </c>
      <c r="P526" t="s" s="1">
        <v>3499</v>
      </c>
    </row>
    <row r="527" spans="1:16">
      <c r="A527" t="n" s="4">
        <v>522</v>
      </c>
      <c r="B527" s="2">
        <f>HYPERLINK("https://my.zakupki.prom.ua/remote/dispatcher/state_purchase_view/19435253", "UA-2020-09-21-003733-b")</f>
        <v/>
      </c>
      <c r="C527" t="s" s="2">
        <v>3245</v>
      </c>
      <c r="D527" s="2">
        <f>HYPERLINK("https://my.zakupki.prom.ua/remote/dispatcher/state_contracting_view/5562351", "UA-2020-09-21-003733-b-b1")</f>
        <v/>
      </c>
      <c r="E527" t="s" s="1">
        <v>1862</v>
      </c>
      <c r="F527" t="s" s="1">
        <v>2949</v>
      </c>
      <c r="G527" t="s" s="1">
        <v>2949</v>
      </c>
      <c r="H527" t="s" s="1">
        <v>727</v>
      </c>
      <c r="I527" t="s" s="1">
        <v>2361</v>
      </c>
      <c r="J527" t="s" s="1">
        <v>3409</v>
      </c>
      <c r="K527" t="s" s="1">
        <v>823</v>
      </c>
      <c r="L527" t="s" s="1">
        <v>447</v>
      </c>
      <c r="M527" t="n" s="5">
        <v>6437.12</v>
      </c>
      <c r="N527" t="n" s="7">
        <v>44095.0</v>
      </c>
      <c r="O527" t="n" s="7">
        <v>44196.0</v>
      </c>
      <c r="P527" t="s" s="1">
        <v>3499</v>
      </c>
    </row>
    <row r="528" spans="1:16">
      <c r="A528" t="n" s="4">
        <v>523</v>
      </c>
      <c r="B528" s="2">
        <f>HYPERLINK("https://my.zakupki.prom.ua/remote/dispatcher/state_purchase_view/20026852", "UA-2020-10-12-004778-b")</f>
        <v/>
      </c>
      <c r="C528" t="s" s="2">
        <v>3245</v>
      </c>
      <c r="D528" s="2">
        <f>HYPERLINK("https://my.zakupki.prom.ua/remote/dispatcher/state_contracting_view/5839908", "UA-2020-10-12-004778-b-b1")</f>
        <v/>
      </c>
      <c r="E528" t="s" s="1">
        <v>1297</v>
      </c>
      <c r="F528" t="s" s="1">
        <v>3148</v>
      </c>
      <c r="G528" t="s" s="1">
        <v>3148</v>
      </c>
      <c r="H528" t="s" s="1">
        <v>1759</v>
      </c>
      <c r="I528" t="s" s="1">
        <v>2361</v>
      </c>
      <c r="J528" t="s" s="1">
        <v>3390</v>
      </c>
      <c r="K528" t="s" s="1">
        <v>816</v>
      </c>
      <c r="L528" t="s" s="1">
        <v>1560</v>
      </c>
      <c r="M528" t="n" s="5">
        <v>49980.0</v>
      </c>
      <c r="N528" t="n" s="7">
        <v>44116.0</v>
      </c>
      <c r="O528" t="n" s="7">
        <v>44196.0</v>
      </c>
      <c r="P528" t="s" s="1">
        <v>3499</v>
      </c>
    </row>
    <row r="529" spans="1:16">
      <c r="A529" t="n" s="4">
        <v>524</v>
      </c>
      <c r="B529" s="2">
        <f>HYPERLINK("https://my.zakupki.prom.ua/remote/dispatcher/state_purchase_view/20014011", "UA-2020-10-12-001207-b")</f>
        <v/>
      </c>
      <c r="C529" t="s" s="2">
        <v>3245</v>
      </c>
      <c r="D529" s="2">
        <f>HYPERLINK("https://my.zakupki.prom.ua/remote/dispatcher/state_contracting_view/5834153", "UA-2020-10-12-001207-b-b1")</f>
        <v/>
      </c>
      <c r="E529" t="s" s="1">
        <v>901</v>
      </c>
      <c r="F529" t="s" s="1">
        <v>2620</v>
      </c>
      <c r="G529" t="s" s="1">
        <v>2620</v>
      </c>
      <c r="H529" t="s" s="1">
        <v>225</v>
      </c>
      <c r="I529" t="s" s="1">
        <v>2361</v>
      </c>
      <c r="J529" t="s" s="1">
        <v>3467</v>
      </c>
      <c r="K529" t="s" s="1">
        <v>766</v>
      </c>
      <c r="L529" t="s" s="1">
        <v>1491</v>
      </c>
      <c r="M529" t="n" s="5">
        <v>925.0</v>
      </c>
      <c r="N529" t="n" s="7">
        <v>44113.0</v>
      </c>
      <c r="O529" t="n" s="7">
        <v>44196.0</v>
      </c>
      <c r="P529" t="s" s="1">
        <v>3499</v>
      </c>
    </row>
    <row r="530" spans="1:16">
      <c r="A530" t="n" s="4">
        <v>525</v>
      </c>
      <c r="B530" s="2">
        <f>HYPERLINK("https://my.zakupki.prom.ua/remote/dispatcher/state_purchase_view/20211929", "UA-2020-10-19-004921-c")</f>
        <v/>
      </c>
      <c r="C530" t="s" s="2">
        <v>3245</v>
      </c>
      <c r="D530" s="2">
        <f>HYPERLINK("https://my.zakupki.prom.ua/remote/dispatcher/state_contracting_view/5928850", "UA-2020-10-19-004921-c-c1")</f>
        <v/>
      </c>
      <c r="E530" t="s" s="1">
        <v>1865</v>
      </c>
      <c r="F530" t="s" s="1">
        <v>2391</v>
      </c>
      <c r="G530" t="s" s="1">
        <v>2391</v>
      </c>
      <c r="H530" t="s" s="1">
        <v>845</v>
      </c>
      <c r="I530" t="s" s="1">
        <v>2361</v>
      </c>
      <c r="J530" t="s" s="1">
        <v>2377</v>
      </c>
      <c r="K530" t="s" s="1">
        <v>616</v>
      </c>
      <c r="L530" t="s" s="1">
        <v>13</v>
      </c>
      <c r="M530" t="n" s="5">
        <v>48188.0</v>
      </c>
      <c r="N530" t="n" s="7">
        <v>44120.0</v>
      </c>
      <c r="O530" t="n" s="7">
        <v>44196.0</v>
      </c>
      <c r="P530" t="s" s="1">
        <v>3499</v>
      </c>
    </row>
    <row r="531" spans="1:16">
      <c r="A531" t="n" s="4">
        <v>526</v>
      </c>
      <c r="B531" s="2">
        <f>HYPERLINK("https://my.zakupki.prom.ua/remote/dispatcher/state_purchase_view/20114844", "UA-2020-10-15-004543-c")</f>
        <v/>
      </c>
      <c r="C531" t="s" s="2">
        <v>3245</v>
      </c>
      <c r="D531" s="2">
        <f>HYPERLINK("https://my.zakupki.prom.ua/remote/dispatcher/state_contracting_view/5882834", "UA-2020-10-15-004543-c-c1")</f>
        <v/>
      </c>
      <c r="E531" t="s" s="1">
        <v>2031</v>
      </c>
      <c r="F531" t="s" s="1">
        <v>3105</v>
      </c>
      <c r="G531" t="s" s="1">
        <v>3105</v>
      </c>
      <c r="H531" t="s" s="1">
        <v>1154</v>
      </c>
      <c r="I531" t="s" s="1">
        <v>2361</v>
      </c>
      <c r="J531" t="s" s="1">
        <v>2319</v>
      </c>
      <c r="K531" t="s" s="1">
        <v>359</v>
      </c>
      <c r="L531" t="s" s="1">
        <v>303</v>
      </c>
      <c r="M531" t="n" s="5">
        <v>1627.45</v>
      </c>
      <c r="N531" t="n" s="7">
        <v>44119.0</v>
      </c>
      <c r="O531" t="n" s="7">
        <v>44196.0</v>
      </c>
      <c r="P531" t="s" s="1">
        <v>3499</v>
      </c>
    </row>
    <row r="532" spans="1:16">
      <c r="A532" t="n" s="4">
        <v>527</v>
      </c>
      <c r="B532" s="2">
        <f>HYPERLINK("https://my.zakupki.prom.ua/remote/dispatcher/state_purchase_view/20204541", "UA-2020-10-19-002812-c")</f>
        <v/>
      </c>
      <c r="C532" t="s" s="2">
        <v>3245</v>
      </c>
      <c r="D532" s="2">
        <f>HYPERLINK("https://my.zakupki.prom.ua/remote/dispatcher/state_contracting_view/5925029", "UA-2020-10-19-002812-c-c1")</f>
        <v/>
      </c>
      <c r="E532" t="s" s="1">
        <v>2022</v>
      </c>
      <c r="F532" t="s" s="1">
        <v>2717</v>
      </c>
      <c r="G532" t="s" s="1">
        <v>2717</v>
      </c>
      <c r="H532" t="s" s="1">
        <v>636</v>
      </c>
      <c r="I532" t="s" s="1">
        <v>2361</v>
      </c>
      <c r="J532" t="s" s="1">
        <v>3467</v>
      </c>
      <c r="K532" t="s" s="1">
        <v>766</v>
      </c>
      <c r="L532" t="s" s="1">
        <v>1536</v>
      </c>
      <c r="M532" t="n" s="5">
        <v>1260.0</v>
      </c>
      <c r="N532" t="n" s="7">
        <v>44120.0</v>
      </c>
      <c r="O532" t="n" s="7">
        <v>44196.0</v>
      </c>
      <c r="P532" t="s" s="1">
        <v>3499</v>
      </c>
    </row>
    <row r="533" spans="1:16">
      <c r="A533" t="n" s="4">
        <v>528</v>
      </c>
      <c r="B533" s="2">
        <f>HYPERLINK("https://my.zakupki.prom.ua/remote/dispatcher/state_purchase_view/17616361", "UA-2020-07-02-007708-a")</f>
        <v/>
      </c>
      <c r="C533" t="s" s="2">
        <v>3245</v>
      </c>
      <c r="D533" s="2">
        <f>HYPERLINK("https://my.zakupki.prom.ua/remote/dispatcher/state_contracting_view/4707062", "UA-2020-07-02-007708-a-a1")</f>
        <v/>
      </c>
      <c r="E533" t="s" s="1">
        <v>1516</v>
      </c>
      <c r="F533" t="s" s="1">
        <v>2743</v>
      </c>
      <c r="G533" t="s" s="1">
        <v>2742</v>
      </c>
      <c r="H533" t="s" s="1">
        <v>690</v>
      </c>
      <c r="I533" t="s" s="1">
        <v>2361</v>
      </c>
      <c r="J533" t="s" s="1">
        <v>3392</v>
      </c>
      <c r="K533" t="s" s="1">
        <v>428</v>
      </c>
      <c r="L533" t="s" s="1">
        <v>461</v>
      </c>
      <c r="M533" t="n" s="5">
        <v>3835.51</v>
      </c>
      <c r="N533" t="n" s="7">
        <v>44013.0</v>
      </c>
      <c r="O533" t="n" s="7">
        <v>44196.0</v>
      </c>
      <c r="P533" t="s" s="1">
        <v>3499</v>
      </c>
    </row>
    <row r="534" spans="1:16">
      <c r="A534" t="n" s="4">
        <v>529</v>
      </c>
      <c r="B534" s="2">
        <f>HYPERLINK("https://my.zakupki.prom.ua/remote/dispatcher/state_purchase_view/17653724", "UA-2020-07-03-007457-a")</f>
        <v/>
      </c>
      <c r="C534" t="s" s="2">
        <v>3245</v>
      </c>
      <c r="D534" s="2">
        <f>HYPERLINK("https://my.zakupki.prom.ua/remote/dispatcher/state_contracting_view/4724650", "UA-2020-07-03-007457-a-a1")</f>
        <v/>
      </c>
      <c r="E534" t="s" s="1">
        <v>1961</v>
      </c>
      <c r="F534" t="s" s="1">
        <v>3162</v>
      </c>
      <c r="G534" t="s" s="1">
        <v>3162</v>
      </c>
      <c r="H534" t="s" s="1">
        <v>755</v>
      </c>
      <c r="I534" t="s" s="1">
        <v>2361</v>
      </c>
      <c r="J534" t="s" s="1">
        <v>2304</v>
      </c>
      <c r="K534" t="s" s="1">
        <v>400</v>
      </c>
      <c r="L534" t="s" s="1">
        <v>484</v>
      </c>
      <c r="M534" t="n" s="5">
        <v>4750.0</v>
      </c>
      <c r="N534" t="n" s="7">
        <v>44015.0</v>
      </c>
      <c r="O534" t="n" s="7">
        <v>44196.0</v>
      </c>
      <c r="P534" t="s" s="1">
        <v>3499</v>
      </c>
    </row>
    <row r="535" spans="1:16">
      <c r="A535" t="n" s="4">
        <v>530</v>
      </c>
      <c r="B535" s="2">
        <f>HYPERLINK("https://my.zakupki.prom.ua/remote/dispatcher/state_purchase_view/16726371", "UA-2020-05-18-005336-c")</f>
        <v/>
      </c>
      <c r="C535" t="s" s="2">
        <v>3245</v>
      </c>
      <c r="D535" s="2">
        <f>HYPERLINK("https://my.zakupki.prom.ua/remote/dispatcher/state_contracting_view/4298827", "UA-2020-05-18-005336-c-c1")</f>
        <v/>
      </c>
      <c r="E535" t="s" s="1">
        <v>1804</v>
      </c>
      <c r="F535" t="s" s="1">
        <v>3334</v>
      </c>
      <c r="G535" t="s" s="1">
        <v>3334</v>
      </c>
      <c r="H535" t="s" s="1">
        <v>205</v>
      </c>
      <c r="I535" t="s" s="1">
        <v>2361</v>
      </c>
      <c r="J535" t="s" s="1">
        <v>3467</v>
      </c>
      <c r="K535" t="s" s="1">
        <v>766</v>
      </c>
      <c r="L535" t="s" s="1">
        <v>199</v>
      </c>
      <c r="M535" t="n" s="5">
        <v>8372.61</v>
      </c>
      <c r="N535" t="n" s="7">
        <v>43967.0</v>
      </c>
      <c r="O535" t="n" s="7">
        <v>44196.0</v>
      </c>
      <c r="P535" t="s" s="1">
        <v>3499</v>
      </c>
    </row>
    <row r="536" spans="1:16">
      <c r="A536" t="n" s="4">
        <v>531</v>
      </c>
      <c r="B536" s="2">
        <f>HYPERLINK("https://my.zakupki.prom.ua/remote/dispatcher/state_purchase_view/18138997", "UA-2020-07-27-004809-c")</f>
        <v/>
      </c>
      <c r="C536" t="s" s="2">
        <v>3245</v>
      </c>
      <c r="D536" s="2">
        <f>HYPERLINK("https://my.zakupki.prom.ua/remote/dispatcher/state_contracting_view/4950710", "UA-2020-07-27-004809-c-c1")</f>
        <v/>
      </c>
      <c r="E536" t="s" s="1">
        <v>1469</v>
      </c>
      <c r="F536" t="s" s="1">
        <v>3115</v>
      </c>
      <c r="G536" t="s" s="1">
        <v>3115</v>
      </c>
      <c r="H536" t="s" s="1">
        <v>1492</v>
      </c>
      <c r="I536" t="s" s="1">
        <v>2361</v>
      </c>
      <c r="J536" t="s" s="1">
        <v>2319</v>
      </c>
      <c r="K536" t="s" s="1">
        <v>359</v>
      </c>
      <c r="L536" t="s" s="1">
        <v>478</v>
      </c>
      <c r="M536" t="n" s="5">
        <v>6480.0</v>
      </c>
      <c r="N536" t="n" s="7">
        <v>44039.0</v>
      </c>
      <c r="O536" t="n" s="7">
        <v>44196.0</v>
      </c>
      <c r="P536" t="s" s="1">
        <v>3499</v>
      </c>
    </row>
    <row r="537" spans="1:16">
      <c r="A537" t="n" s="4">
        <v>532</v>
      </c>
      <c r="B537" s="2">
        <f>HYPERLINK("https://my.zakupki.prom.ua/remote/dispatcher/state_purchase_view/18654185", "UA-2020-08-19-003529-a")</f>
        <v/>
      </c>
      <c r="C537" t="s" s="2">
        <v>3245</v>
      </c>
      <c r="D537" s="2">
        <f>HYPERLINK("https://my.zakupki.prom.ua/remote/dispatcher/state_contracting_view/5191241", "UA-2020-08-19-003529-a-a1")</f>
        <v/>
      </c>
      <c r="E537" t="s" s="1">
        <v>1855</v>
      </c>
      <c r="F537" t="s" s="1">
        <v>2499</v>
      </c>
      <c r="G537" t="s" s="1">
        <v>2499</v>
      </c>
      <c r="H537" t="s" s="1">
        <v>733</v>
      </c>
      <c r="I537" t="s" s="1">
        <v>2361</v>
      </c>
      <c r="J537" t="s" s="1">
        <v>3467</v>
      </c>
      <c r="K537" t="s" s="1">
        <v>766</v>
      </c>
      <c r="L537" t="s" s="1">
        <v>1161</v>
      </c>
      <c r="M537" t="n" s="5">
        <v>250.0</v>
      </c>
      <c r="N537" t="n" s="7">
        <v>44060.0</v>
      </c>
      <c r="O537" t="n" s="7">
        <v>44196.0</v>
      </c>
      <c r="P537" t="s" s="1">
        <v>3499</v>
      </c>
    </row>
    <row r="538" spans="1:16">
      <c r="A538" t="n" s="4">
        <v>533</v>
      </c>
      <c r="B538" s="2">
        <f>HYPERLINK("https://my.zakupki.prom.ua/remote/dispatcher/state_purchase_view/18645009", "UA-2020-08-19-000973-a")</f>
        <v/>
      </c>
      <c r="C538" t="s" s="2">
        <v>3245</v>
      </c>
      <c r="D538" s="2">
        <f>HYPERLINK("https://my.zakupki.prom.ua/remote/dispatcher/state_contracting_view/5187124", "UA-2020-08-19-000973-a-a1")</f>
        <v/>
      </c>
      <c r="E538" t="s" s="1">
        <v>621</v>
      </c>
      <c r="F538" t="s" s="1">
        <v>2547</v>
      </c>
      <c r="G538" t="s" s="1">
        <v>2547</v>
      </c>
      <c r="H538" t="s" s="1">
        <v>209</v>
      </c>
      <c r="I538" t="s" s="1">
        <v>2361</v>
      </c>
      <c r="J538" t="s" s="1">
        <v>3467</v>
      </c>
      <c r="K538" t="s" s="1">
        <v>766</v>
      </c>
      <c r="L538" t="s" s="1">
        <v>1137</v>
      </c>
      <c r="M538" t="n" s="5">
        <v>4794.0</v>
      </c>
      <c r="N538" t="n" s="7">
        <v>44060.0</v>
      </c>
      <c r="O538" t="n" s="7">
        <v>44196.0</v>
      </c>
      <c r="P538" t="s" s="1">
        <v>3499</v>
      </c>
    </row>
    <row r="539" spans="1:16">
      <c r="A539" t="n" s="4">
        <v>534</v>
      </c>
      <c r="B539" s="2">
        <f>HYPERLINK("https://my.zakupki.prom.ua/remote/dispatcher/state_purchase_view/18070447", "UA-2020-07-23-003752-b")</f>
        <v/>
      </c>
      <c r="C539" t="s" s="2">
        <v>3245</v>
      </c>
      <c r="D539" s="2">
        <f>HYPERLINK("https://my.zakupki.prom.ua/remote/dispatcher/state_contracting_view/4918736", "UA-2020-07-23-003752-b-b1")</f>
        <v/>
      </c>
      <c r="E539" t="s" s="1">
        <v>1295</v>
      </c>
      <c r="F539" t="s" s="1">
        <v>2832</v>
      </c>
      <c r="G539" t="s" s="1">
        <v>2832</v>
      </c>
      <c r="H539" t="s" s="1">
        <v>703</v>
      </c>
      <c r="I539" t="s" s="1">
        <v>2361</v>
      </c>
      <c r="J539" t="s" s="1">
        <v>3409</v>
      </c>
      <c r="K539" t="s" s="1">
        <v>823</v>
      </c>
      <c r="L539" t="s" s="1">
        <v>299</v>
      </c>
      <c r="M539" t="n" s="5">
        <v>8884.0</v>
      </c>
      <c r="N539" t="n" s="7">
        <v>44035.0</v>
      </c>
      <c r="O539" t="n" s="7">
        <v>44196.0</v>
      </c>
      <c r="P539" t="s" s="1">
        <v>3499</v>
      </c>
    </row>
    <row r="540" spans="1:16">
      <c r="A540" t="n" s="4">
        <v>535</v>
      </c>
      <c r="B540" s="2">
        <f>HYPERLINK("https://my.zakupki.prom.ua/remote/dispatcher/state_purchase_view/18791337", "UA-2020-08-26-003951-a")</f>
        <v/>
      </c>
      <c r="C540" t="s" s="2">
        <v>3245</v>
      </c>
      <c r="D540" s="2">
        <f>HYPERLINK("https://my.zakupki.prom.ua/remote/dispatcher/state_contracting_view/5257507", "UA-2020-08-26-003951-a-a1")</f>
        <v/>
      </c>
      <c r="E540" t="s" s="1">
        <v>904</v>
      </c>
      <c r="F540" t="s" s="1">
        <v>2547</v>
      </c>
      <c r="G540" t="s" s="1">
        <v>2547</v>
      </c>
      <c r="H540" t="s" s="1">
        <v>209</v>
      </c>
      <c r="I540" t="s" s="1">
        <v>2361</v>
      </c>
      <c r="J540" t="s" s="1">
        <v>3467</v>
      </c>
      <c r="K540" t="s" s="1">
        <v>766</v>
      </c>
      <c r="L540" t="s" s="1">
        <v>1181</v>
      </c>
      <c r="M540" t="n" s="5">
        <v>3995.0</v>
      </c>
      <c r="N540" t="n" s="7">
        <v>44068.0</v>
      </c>
      <c r="O540" t="n" s="7">
        <v>44196.0</v>
      </c>
      <c r="P540" t="s" s="1">
        <v>3499</v>
      </c>
    </row>
    <row r="541" spans="1:16">
      <c r="A541" t="n" s="4">
        <v>536</v>
      </c>
      <c r="B541" s="2">
        <f>HYPERLINK("https://my.zakupki.prom.ua/remote/dispatcher/state_purchase_view/21695192", "UA-2020-12-03-003327-b")</f>
        <v/>
      </c>
      <c r="C541" t="s" s="2">
        <v>3245</v>
      </c>
      <c r="D541" s="2">
        <f>HYPERLINK("https://my.zakupki.prom.ua/remote/dispatcher/state_contracting_view/6631916", "UA-2020-12-03-003327-b-b1")</f>
        <v/>
      </c>
      <c r="E541" t="s" s="1">
        <v>2041</v>
      </c>
      <c r="F541" t="s" s="1">
        <v>2623</v>
      </c>
      <c r="G541" t="s" s="1">
        <v>2623</v>
      </c>
      <c r="H541" t="s" s="1">
        <v>225</v>
      </c>
      <c r="I541" t="s" s="1">
        <v>2361</v>
      </c>
      <c r="J541" t="s" s="1">
        <v>3467</v>
      </c>
      <c r="K541" t="s" s="1">
        <v>766</v>
      </c>
      <c r="L541" t="s" s="1">
        <v>1819</v>
      </c>
      <c r="M541" t="n" s="5">
        <v>7884.5</v>
      </c>
      <c r="N541" t="n" s="7">
        <v>44166.0</v>
      </c>
      <c r="O541" t="n" s="7">
        <v>44196.0</v>
      </c>
      <c r="P541" t="s" s="1">
        <v>3499</v>
      </c>
    </row>
    <row r="542" spans="1:16">
      <c r="A542" t="n" s="4">
        <v>537</v>
      </c>
      <c r="B542" s="2">
        <f>HYPERLINK("https://my.zakupki.prom.ua/remote/dispatcher/state_purchase_view/20896956", "UA-2020-11-09-008317-c")</f>
        <v/>
      </c>
      <c r="C542" t="s" s="2">
        <v>3245</v>
      </c>
      <c r="D542" s="2">
        <f>HYPERLINK("https://my.zakupki.prom.ua/remote/dispatcher/state_contracting_view/6261002", "UA-2020-11-09-008317-c-c1")</f>
        <v/>
      </c>
      <c r="E542" t="s" s="1">
        <v>432</v>
      </c>
      <c r="F542" t="s" s="1">
        <v>2659</v>
      </c>
      <c r="G542" t="s" s="1">
        <v>2659</v>
      </c>
      <c r="H542" t="s" s="1">
        <v>442</v>
      </c>
      <c r="I542" t="s" s="1">
        <v>2361</v>
      </c>
      <c r="J542" t="s" s="1">
        <v>3392</v>
      </c>
      <c r="K542" t="s" s="1">
        <v>428</v>
      </c>
      <c r="L542" t="s" s="1">
        <v>1670</v>
      </c>
      <c r="M542" t="n" s="5">
        <v>1292.5</v>
      </c>
      <c r="N542" t="n" s="7">
        <v>44144.0</v>
      </c>
      <c r="O542" t="n" s="7">
        <v>44196.0</v>
      </c>
      <c r="P542" t="s" s="1">
        <v>3499</v>
      </c>
    </row>
    <row r="543" spans="1:16">
      <c r="A543" t="n" s="4">
        <v>538</v>
      </c>
      <c r="B543" s="2">
        <f>HYPERLINK("https://my.zakupki.prom.ua/remote/dispatcher/state_purchase_view/20885001", "UA-2020-11-09-003993-c")</f>
        <v/>
      </c>
      <c r="C543" t="s" s="2">
        <v>3245</v>
      </c>
      <c r="D543" s="2">
        <f>HYPERLINK("https://my.zakupki.prom.ua/remote/dispatcher/state_contracting_view/6253280", "UA-2020-11-09-003993-c-c1")</f>
        <v/>
      </c>
      <c r="E543" t="s" s="1">
        <v>1672</v>
      </c>
      <c r="F543" t="s" s="1">
        <v>2713</v>
      </c>
      <c r="G543" t="s" s="1">
        <v>2713</v>
      </c>
      <c r="H543" t="s" s="1">
        <v>631</v>
      </c>
      <c r="I543" t="s" s="1">
        <v>2361</v>
      </c>
      <c r="J543" t="s" s="1">
        <v>3251</v>
      </c>
      <c r="K543" t="s" s="1">
        <v>486</v>
      </c>
      <c r="L543" t="s" s="1">
        <v>3257</v>
      </c>
      <c r="M543" t="n" s="5">
        <v>1121.95</v>
      </c>
      <c r="N543" t="n" s="7">
        <v>44144.0</v>
      </c>
      <c r="O543" t="n" s="7">
        <v>44196.0</v>
      </c>
      <c r="P543" t="s" s="1">
        <v>3499</v>
      </c>
    </row>
    <row r="544" spans="1:16">
      <c r="A544" t="n" s="4">
        <v>539</v>
      </c>
      <c r="B544" s="2">
        <f>HYPERLINK("https://my.zakupki.prom.ua/remote/dispatcher/state_purchase_view/21853753", "UA-2020-12-08-000546-c")</f>
        <v/>
      </c>
      <c r="C544" t="s" s="2">
        <v>3245</v>
      </c>
      <c r="D544" s="2">
        <f>HYPERLINK("https://my.zakupki.prom.ua/remote/dispatcher/state_contracting_view/6705032", "UA-2020-12-08-000546-c-c1")</f>
        <v/>
      </c>
      <c r="E544" t="s" s="1">
        <v>1113</v>
      </c>
      <c r="F544" t="s" s="1">
        <v>2842</v>
      </c>
      <c r="G544" t="s" s="1">
        <v>2842</v>
      </c>
      <c r="H544" t="s" s="1">
        <v>703</v>
      </c>
      <c r="I544" t="s" s="1">
        <v>2361</v>
      </c>
      <c r="J544" t="s" s="1">
        <v>2358</v>
      </c>
      <c r="K544" t="s" s="1">
        <v>376</v>
      </c>
      <c r="L544" t="s" s="1">
        <v>1841</v>
      </c>
      <c r="M544" t="n" s="5">
        <v>16965.0</v>
      </c>
      <c r="N544" t="n" s="7">
        <v>44172.0</v>
      </c>
      <c r="O544" t="n" s="7">
        <v>44196.0</v>
      </c>
      <c r="P544" t="s" s="1">
        <v>3499</v>
      </c>
    </row>
    <row r="545" spans="1:16">
      <c r="A545" t="n" s="4">
        <v>540</v>
      </c>
      <c r="B545" s="2">
        <f>HYPERLINK("https://my.zakupki.prom.ua/remote/dispatcher/state_purchase_view/21989070", "UA-2020-12-10-005704-c")</f>
        <v/>
      </c>
      <c r="C545" t="s" s="2">
        <v>3245</v>
      </c>
      <c r="D545" s="2">
        <f>HYPERLINK("https://my.zakupki.prom.ua/remote/dispatcher/state_contracting_view/6769637", "UA-2020-12-10-005704-c-c1")</f>
        <v/>
      </c>
      <c r="E545" t="s" s="1">
        <v>572</v>
      </c>
      <c r="F545" t="s" s="1">
        <v>2762</v>
      </c>
      <c r="G545" t="s" s="1">
        <v>3506</v>
      </c>
      <c r="H545" t="s" s="1">
        <v>690</v>
      </c>
      <c r="I545" t="s" s="1">
        <v>2361</v>
      </c>
      <c r="J545" t="s" s="1">
        <v>3377</v>
      </c>
      <c r="K545" t="s" s="1">
        <v>722</v>
      </c>
      <c r="L545" t="s" s="1">
        <v>938</v>
      </c>
      <c r="M545" t="n" s="5">
        <v>160950.0</v>
      </c>
      <c r="N545" t="n" s="7">
        <v>44174.0</v>
      </c>
      <c r="O545" t="n" s="7">
        <v>44196.0</v>
      </c>
      <c r="P545" t="s" s="1">
        <v>3499</v>
      </c>
    </row>
    <row r="546" spans="1:16">
      <c r="A546" t="n" s="4">
        <v>541</v>
      </c>
      <c r="B546" s="2">
        <f>HYPERLINK("https://my.zakupki.prom.ua/remote/dispatcher/state_purchase_view/22098105", "UA-2020-12-14-000819-c")</f>
        <v/>
      </c>
      <c r="C546" t="s" s="2">
        <v>3245</v>
      </c>
      <c r="D546" s="2">
        <f>HYPERLINK("https://my.zakupki.prom.ua/remote/dispatcher/state_contracting_view/6821944", "UA-2020-12-14-000819-c-c1")</f>
        <v/>
      </c>
      <c r="E546" t="s" s="1">
        <v>2272</v>
      </c>
      <c r="F546" t="s" s="1">
        <v>3099</v>
      </c>
      <c r="G546" t="s" s="1">
        <v>3099</v>
      </c>
      <c r="H546" t="s" s="1">
        <v>1144</v>
      </c>
      <c r="I546" t="s" s="1">
        <v>2361</v>
      </c>
      <c r="J546" t="s" s="1">
        <v>3220</v>
      </c>
      <c r="K546" t="s" s="1">
        <v>588</v>
      </c>
      <c r="L546" t="s" s="1">
        <v>1854</v>
      </c>
      <c r="M546" t="n" s="5">
        <v>540.0</v>
      </c>
      <c r="N546" t="n" s="7">
        <v>44179.0</v>
      </c>
      <c r="O546" t="n" s="7">
        <v>44196.0</v>
      </c>
      <c r="P546" t="s" s="1">
        <v>3499</v>
      </c>
    </row>
    <row r="547" spans="1:16">
      <c r="A547" t="n" s="4">
        <v>542</v>
      </c>
      <c r="B547" s="2">
        <f>HYPERLINK("https://my.zakupki.prom.ua/remote/dispatcher/state_purchase_view/22098680", "UA-2020-12-14-001003-c")</f>
        <v/>
      </c>
      <c r="C547" t="s" s="2">
        <v>3245</v>
      </c>
      <c r="D547" s="2">
        <f>HYPERLINK("https://my.zakupki.prom.ua/remote/dispatcher/state_contracting_view/6822133", "UA-2020-12-14-001003-c-c1")</f>
        <v/>
      </c>
      <c r="E547" t="s" s="1">
        <v>1591</v>
      </c>
      <c r="F547" t="s" s="1">
        <v>2728</v>
      </c>
      <c r="G547" t="s" s="1">
        <v>2728</v>
      </c>
      <c r="H547" t="s" s="1">
        <v>670</v>
      </c>
      <c r="I547" t="s" s="1">
        <v>2361</v>
      </c>
      <c r="J547" t="s" s="1">
        <v>3384</v>
      </c>
      <c r="K547" t="s" s="1">
        <v>930</v>
      </c>
      <c r="L547" t="s" s="1">
        <v>108</v>
      </c>
      <c r="M547" t="n" s="5">
        <v>1097.0</v>
      </c>
      <c r="N547" t="n" s="7">
        <v>44179.0</v>
      </c>
      <c r="O547" t="n" s="7">
        <v>44196.0</v>
      </c>
      <c r="P547" t="s" s="1">
        <v>3499</v>
      </c>
    </row>
    <row r="548" spans="1:16">
      <c r="A548" t="n" s="4">
        <v>543</v>
      </c>
      <c r="B548" s="2">
        <f>HYPERLINK("https://my.zakupki.prom.ua/remote/dispatcher/state_purchase_view/22096531", "UA-2020-12-14-000350-c")</f>
        <v/>
      </c>
      <c r="C548" t="s" s="2">
        <v>3245</v>
      </c>
      <c r="D548" s="2">
        <f>HYPERLINK("https://my.zakupki.prom.ua/remote/dispatcher/state_contracting_view/6821223", "UA-2020-12-14-000350-c-c1")</f>
        <v/>
      </c>
      <c r="E548" t="s" s="1">
        <v>2191</v>
      </c>
      <c r="F548" t="s" s="1">
        <v>2928</v>
      </c>
      <c r="G548" t="s" s="1">
        <v>2928</v>
      </c>
      <c r="H548" t="s" s="1">
        <v>718</v>
      </c>
      <c r="I548" t="s" s="1">
        <v>2361</v>
      </c>
      <c r="J548" t="s" s="1">
        <v>3392</v>
      </c>
      <c r="K548" t="s" s="1">
        <v>428</v>
      </c>
      <c r="L548" t="s" s="1">
        <v>1851</v>
      </c>
      <c r="M548" t="n" s="5">
        <v>242660.55</v>
      </c>
      <c r="N548" t="n" s="7">
        <v>44179.0</v>
      </c>
      <c r="O548" t="n" s="7">
        <v>44196.0</v>
      </c>
      <c r="P548" t="s" s="1">
        <v>3499</v>
      </c>
    </row>
    <row r="549" spans="1:16">
      <c r="A549" t="n" s="4">
        <v>544</v>
      </c>
      <c r="B549" s="2">
        <f>HYPERLINK("https://my.zakupki.prom.ua/remote/dispatcher/state_purchase_view/22732158", "UA-2020-12-28-012887-c")</f>
        <v/>
      </c>
      <c r="C549" t="s" s="2">
        <v>3245</v>
      </c>
      <c r="D549" s="2">
        <f>HYPERLINK("https://my.zakupki.prom.ua/remote/dispatcher/state_contracting_view/7129887", "UA-2020-12-28-012887-c-c1")</f>
        <v/>
      </c>
      <c r="E549" t="s" s="1">
        <v>2209</v>
      </c>
      <c r="F549" t="s" s="1">
        <v>3072</v>
      </c>
      <c r="G549" t="s" s="1">
        <v>3072</v>
      </c>
      <c r="H549" t="s" s="1">
        <v>1024</v>
      </c>
      <c r="I549" t="s" s="1">
        <v>2361</v>
      </c>
      <c r="J549" t="s" s="1">
        <v>3420</v>
      </c>
      <c r="K549" t="s" s="1">
        <v>535</v>
      </c>
      <c r="L549" t="s" s="1">
        <v>3366</v>
      </c>
      <c r="M549" t="n" s="5">
        <v>279.0</v>
      </c>
      <c r="N549" t="n" s="7">
        <v>44193.0</v>
      </c>
      <c r="O549" t="n" s="7">
        <v>44196.0</v>
      </c>
      <c r="P549" t="s" s="1">
        <v>3499</v>
      </c>
    </row>
    <row r="550" spans="1:16">
      <c r="A550" t="n" s="4">
        <v>545</v>
      </c>
      <c r="B550" s="2">
        <f>HYPERLINK("https://my.zakupki.prom.ua/remote/dispatcher/state_purchase_view/16726956", "UA-2020-05-18-005527-c")</f>
        <v/>
      </c>
      <c r="C550" t="s" s="2">
        <v>3245</v>
      </c>
      <c r="D550" s="2">
        <f>HYPERLINK("https://my.zakupki.prom.ua/remote/dispatcher/state_contracting_view/4299168", "UA-2020-05-18-005527-c-c1")</f>
        <v/>
      </c>
      <c r="E550" t="s" s="1">
        <v>1766</v>
      </c>
      <c r="F550" t="s" s="1">
        <v>3513</v>
      </c>
      <c r="G550" t="s" s="1">
        <v>3248</v>
      </c>
      <c r="H550" t="s" s="1">
        <v>703</v>
      </c>
      <c r="I550" t="s" s="1">
        <v>2361</v>
      </c>
      <c r="J550" t="s" s="1">
        <v>3392</v>
      </c>
      <c r="K550" t="s" s="1">
        <v>428</v>
      </c>
      <c r="L550" t="s" s="1">
        <v>197</v>
      </c>
      <c r="M550" t="n" s="5">
        <v>3564.0</v>
      </c>
      <c r="N550" t="n" s="7">
        <v>43969.0</v>
      </c>
      <c r="O550" t="n" s="7">
        <v>44196.0</v>
      </c>
      <c r="P550" t="s" s="1">
        <v>3499</v>
      </c>
    </row>
    <row r="551" spans="1:16">
      <c r="A551" t="n" s="4">
        <v>546</v>
      </c>
      <c r="B551" s="2">
        <f>HYPERLINK("https://my.zakupki.prom.ua/remote/dispatcher/state_purchase_view/15397814", "UA-2020-02-20-002135-b")</f>
        <v/>
      </c>
      <c r="C551" t="s" s="2">
        <v>3245</v>
      </c>
      <c r="D551" s="2">
        <f>HYPERLINK("https://my.zakupki.prom.ua/remote/dispatcher/state_contracting_view/3830390", "UA-2020-02-20-002135-b-b1")</f>
        <v/>
      </c>
      <c r="E551" t="s" s="1">
        <v>1523</v>
      </c>
      <c r="F551" t="s" s="1">
        <v>727</v>
      </c>
      <c r="G551" t="s" s="1">
        <v>727</v>
      </c>
      <c r="H551" t="s" s="1">
        <v>727</v>
      </c>
      <c r="I551" t="s" s="1">
        <v>2361</v>
      </c>
      <c r="J551" t="s" s="1">
        <v>3409</v>
      </c>
      <c r="K551" t="s" s="1">
        <v>823</v>
      </c>
      <c r="L551" t="s" s="1">
        <v>286</v>
      </c>
      <c r="M551" t="n" s="5">
        <v>16801.14</v>
      </c>
      <c r="N551" t="n" s="7">
        <v>43881.0</v>
      </c>
      <c r="O551" t="n" s="7">
        <v>44196.0</v>
      </c>
      <c r="P551" t="s" s="1">
        <v>3499</v>
      </c>
    </row>
    <row r="552" spans="1:16">
      <c r="A552" t="n" s="4">
        <v>547</v>
      </c>
      <c r="B552" s="2">
        <f>HYPERLINK("https://my.zakupki.prom.ua/remote/dispatcher/state_purchase_view/15190849", "UA-2020-02-10-001639-b")</f>
        <v/>
      </c>
      <c r="C552" t="s" s="2">
        <v>3245</v>
      </c>
      <c r="D552" s="2">
        <f>HYPERLINK("https://my.zakupki.prom.ua/remote/dispatcher/state_contracting_view/3774810", "UA-2020-02-10-001639-b-b1")</f>
        <v/>
      </c>
      <c r="E552" t="s" s="1">
        <v>157</v>
      </c>
      <c r="F552" t="s" s="1">
        <v>598</v>
      </c>
      <c r="G552" t="s" s="1">
        <v>598</v>
      </c>
      <c r="H552" t="s" s="1">
        <v>597</v>
      </c>
      <c r="I552" t="s" s="1">
        <v>2361</v>
      </c>
      <c r="J552" t="s" s="1">
        <v>3380</v>
      </c>
      <c r="K552" t="s" s="1">
        <v>940</v>
      </c>
      <c r="L552" t="s" s="1">
        <v>501</v>
      </c>
      <c r="M552" t="n" s="5">
        <v>2400.0</v>
      </c>
      <c r="N552" t="n" s="7">
        <v>43871.0</v>
      </c>
      <c r="O552" t="n" s="7">
        <v>44196.0</v>
      </c>
      <c r="P552" t="s" s="1">
        <v>3499</v>
      </c>
    </row>
    <row r="553" spans="1:16">
      <c r="A553" t="n" s="4">
        <v>548</v>
      </c>
      <c r="B553" s="2">
        <f>HYPERLINK("https://my.zakupki.prom.ua/remote/dispatcher/state_purchase_view/15679006", "UA-2020-03-10-002086-a")</f>
        <v/>
      </c>
      <c r="C553" t="s" s="2">
        <v>3245</v>
      </c>
      <c r="D553" s="2">
        <f>HYPERLINK("https://my.zakupki.prom.ua/remote/dispatcher/state_contracting_view/3912622", "UA-2020-03-10-002086-a-a1")</f>
        <v/>
      </c>
      <c r="E553" t="s" s="1">
        <v>2129</v>
      </c>
      <c r="F553" t="s" s="1">
        <v>718</v>
      </c>
      <c r="G553" t="s" s="1">
        <v>718</v>
      </c>
      <c r="H553" t="s" s="1">
        <v>718</v>
      </c>
      <c r="I553" t="s" s="1">
        <v>2361</v>
      </c>
      <c r="J553" t="s" s="1">
        <v>3392</v>
      </c>
      <c r="K553" t="s" s="1">
        <v>428</v>
      </c>
      <c r="L553" t="s" s="1">
        <v>1193</v>
      </c>
      <c r="M553" t="n" s="5">
        <v>1165.2</v>
      </c>
      <c r="N553" t="n" s="7">
        <v>43900.0</v>
      </c>
      <c r="O553" t="n" s="7">
        <v>44196.0</v>
      </c>
      <c r="P553" t="s" s="1">
        <v>3499</v>
      </c>
    </row>
    <row r="554" spans="1:16">
      <c r="A554" t="n" s="4">
        <v>549</v>
      </c>
      <c r="B554" s="2">
        <f>HYPERLINK("https://my.zakupki.prom.ua/remote/dispatcher/state_purchase_view/16357392", "UA-2020-04-16-008009-b")</f>
        <v/>
      </c>
      <c r="C554" t="s" s="2">
        <v>3245</v>
      </c>
      <c r="D554" s="2">
        <f>HYPERLINK("https://my.zakupki.prom.ua/remote/dispatcher/state_contracting_view/4140607", "UA-2020-04-16-008009-b-b1")</f>
        <v/>
      </c>
      <c r="E554" t="s" s="1">
        <v>576</v>
      </c>
      <c r="F554" t="s" s="1">
        <v>3153</v>
      </c>
      <c r="G554" t="s" s="1">
        <v>3152</v>
      </c>
      <c r="H554" t="s" s="1">
        <v>690</v>
      </c>
      <c r="I554" t="s" s="1">
        <v>2361</v>
      </c>
      <c r="J554" t="s" s="1">
        <v>3392</v>
      </c>
      <c r="K554" t="s" s="1">
        <v>428</v>
      </c>
      <c r="L554" t="s" s="1">
        <v>162</v>
      </c>
      <c r="M554" t="n" s="5">
        <v>4542.0</v>
      </c>
      <c r="N554" t="n" s="7">
        <v>43936.0</v>
      </c>
      <c r="O554" t="n" s="7">
        <v>44196.0</v>
      </c>
      <c r="P554" t="s" s="1">
        <v>3499</v>
      </c>
    </row>
    <row r="555" spans="1:16">
      <c r="A555" t="n" s="4">
        <v>550</v>
      </c>
      <c r="B555" s="2">
        <f>HYPERLINK("https://my.zakupki.prom.ua/remote/dispatcher/state_purchase_view/16206066", "UA-2020-04-10-001231-b")</f>
        <v/>
      </c>
      <c r="C555" t="s" s="2">
        <v>3245</v>
      </c>
      <c r="D555" s="2">
        <f>HYPERLINK("https://my.zakupki.prom.ua/remote/dispatcher/state_contracting_view/4087081", "UA-2020-04-10-001231-b-b1")</f>
        <v/>
      </c>
      <c r="E555" t="s" s="1">
        <v>1594</v>
      </c>
      <c r="F555" t="s" s="1">
        <v>2327</v>
      </c>
      <c r="G555" t="s" s="1">
        <v>2327</v>
      </c>
      <c r="H555" t="s" s="1">
        <v>703</v>
      </c>
      <c r="I555" t="s" s="1">
        <v>2361</v>
      </c>
      <c r="J555" t="s" s="1">
        <v>3392</v>
      </c>
      <c r="K555" t="s" s="1">
        <v>428</v>
      </c>
      <c r="L555" t="s" s="1">
        <v>136</v>
      </c>
      <c r="M555" t="n" s="5">
        <v>17225.12</v>
      </c>
      <c r="N555" t="n" s="7">
        <v>43930.0</v>
      </c>
      <c r="O555" t="n" s="7">
        <v>44196.0</v>
      </c>
      <c r="P555" t="s" s="1">
        <v>3499</v>
      </c>
    </row>
    <row r="556" spans="1:16">
      <c r="A556" t="n" s="4">
        <v>551</v>
      </c>
      <c r="B556" s="2">
        <f>HYPERLINK("https://my.zakupki.prom.ua/remote/dispatcher/state_purchase_view/17489043", "UA-2020-06-24-012093-a")</f>
        <v/>
      </c>
      <c r="C556" t="s" s="2">
        <v>3245</v>
      </c>
      <c r="D556" s="2">
        <f>HYPERLINK("https://my.zakupki.prom.ua/remote/dispatcher/state_contracting_view/4651127", "UA-2020-06-24-012093-a-a1")</f>
        <v/>
      </c>
      <c r="E556" t="s" s="1">
        <v>214</v>
      </c>
      <c r="F556" t="s" s="1">
        <v>2439</v>
      </c>
      <c r="G556" t="s" s="1">
        <v>2439</v>
      </c>
      <c r="H556" t="s" s="1">
        <v>703</v>
      </c>
      <c r="I556" t="s" s="1">
        <v>2361</v>
      </c>
      <c r="J556" t="s" s="1">
        <v>3392</v>
      </c>
      <c r="K556" t="s" s="1">
        <v>428</v>
      </c>
      <c r="L556" t="s" s="1">
        <v>385</v>
      </c>
      <c r="M556" t="n" s="5">
        <v>883.66</v>
      </c>
      <c r="N556" t="n" s="7">
        <v>44005.0</v>
      </c>
      <c r="O556" t="n" s="7">
        <v>44196.0</v>
      </c>
      <c r="P556" t="s" s="1">
        <v>3499</v>
      </c>
    </row>
    <row r="557" spans="1:16">
      <c r="A557" t="n" s="4">
        <v>552</v>
      </c>
      <c r="B557" s="2">
        <f>HYPERLINK("https://my.zakupki.prom.ua/remote/dispatcher/state_purchase_view/17801654", "UA-2020-07-10-005203-c")</f>
        <v/>
      </c>
      <c r="C557" t="s" s="2">
        <v>3245</v>
      </c>
      <c r="D557" s="2">
        <f>HYPERLINK("https://my.zakupki.prom.ua/remote/dispatcher/state_contracting_view/4793178", "UA-2020-07-10-005203-c-c1")</f>
        <v/>
      </c>
      <c r="E557" t="s" s="1">
        <v>2072</v>
      </c>
      <c r="F557" t="s" s="1">
        <v>2783</v>
      </c>
      <c r="G557" t="s" s="1">
        <v>2783</v>
      </c>
      <c r="H557" t="s" s="1">
        <v>690</v>
      </c>
      <c r="I557" t="s" s="1">
        <v>2361</v>
      </c>
      <c r="J557" t="s" s="1">
        <v>3302</v>
      </c>
      <c r="K557" t="s" s="1">
        <v>617</v>
      </c>
      <c r="L557" t="s" s="1">
        <v>619</v>
      </c>
      <c r="M557" t="n" s="5">
        <v>1257.9</v>
      </c>
      <c r="N557" t="n" s="7">
        <v>44022.0</v>
      </c>
      <c r="O557" t="n" s="7">
        <v>44196.0</v>
      </c>
      <c r="P557" t="s" s="1">
        <v>3499</v>
      </c>
    </row>
    <row r="558" spans="1:16">
      <c r="A558" t="n" s="4">
        <v>553</v>
      </c>
      <c r="B558" s="2">
        <f>HYPERLINK("https://my.zakupki.prom.ua/remote/dispatcher/state_purchase_view/17638202", "UA-2020-07-03-003374-a")</f>
        <v/>
      </c>
      <c r="C558" t="s" s="2">
        <v>3245</v>
      </c>
      <c r="D558" s="2">
        <f>HYPERLINK("https://my.zakupki.prom.ua/remote/dispatcher/state_contracting_view/4730047", "UA-2020-07-03-003374-a-a1")</f>
        <v/>
      </c>
      <c r="E558" t="s" s="1">
        <v>2143</v>
      </c>
      <c r="F558" t="s" s="1">
        <v>3163</v>
      </c>
      <c r="G558" t="s" s="1">
        <v>3163</v>
      </c>
      <c r="H558" t="s" s="1">
        <v>406</v>
      </c>
      <c r="I558" t="s" s="1">
        <v>2361</v>
      </c>
      <c r="J558" t="s" s="1">
        <v>3436</v>
      </c>
      <c r="K558" t="s" s="1">
        <v>660</v>
      </c>
      <c r="L558" t="s" s="1">
        <v>470</v>
      </c>
      <c r="M558" t="n" s="5">
        <v>4642.0</v>
      </c>
      <c r="N558" t="n" s="7">
        <v>44015.0</v>
      </c>
      <c r="O558" t="n" s="7">
        <v>44196.0</v>
      </c>
      <c r="P558" t="s" s="1">
        <v>3499</v>
      </c>
    </row>
    <row r="559" spans="1:16">
      <c r="A559" t="n" s="4">
        <v>554</v>
      </c>
      <c r="B559" s="2">
        <f>HYPERLINK("https://my.zakupki.prom.ua/remote/dispatcher/state_purchase_view/18280821", "UA-2020-08-04-000245-a")</f>
        <v/>
      </c>
      <c r="C559" t="s" s="2">
        <v>3245</v>
      </c>
      <c r="D559" s="2">
        <f>HYPERLINK("https://my.zakupki.prom.ua/remote/dispatcher/state_contracting_view/5016536", "UA-2020-08-04-000245-a-a1")</f>
        <v/>
      </c>
      <c r="E559" t="s" s="1">
        <v>89</v>
      </c>
      <c r="F559" t="s" s="1">
        <v>2923</v>
      </c>
      <c r="G559" t="s" s="1">
        <v>3558</v>
      </c>
      <c r="H559" t="s" s="1">
        <v>718</v>
      </c>
      <c r="I559" t="s" s="1">
        <v>2361</v>
      </c>
      <c r="J559" t="s" s="1">
        <v>3302</v>
      </c>
      <c r="K559" t="s" s="1">
        <v>617</v>
      </c>
      <c r="L559" t="s" s="1">
        <v>1402</v>
      </c>
      <c r="M559" t="n" s="5">
        <v>246094.63</v>
      </c>
      <c r="N559" t="n" s="7">
        <v>44046.0</v>
      </c>
      <c r="O559" t="n" s="7">
        <v>44196.0</v>
      </c>
      <c r="P559" t="s" s="1">
        <v>3499</v>
      </c>
    </row>
    <row r="560" spans="1:16">
      <c r="A560" t="n" s="4">
        <v>555</v>
      </c>
      <c r="B560" s="2">
        <f>HYPERLINK("https://my.zakupki.prom.ua/remote/dispatcher/state_purchase_view/18129354", "UA-2020-07-27-001637-c")</f>
        <v/>
      </c>
      <c r="C560" t="s" s="2">
        <v>3245</v>
      </c>
      <c r="D560" s="2">
        <f>HYPERLINK("https://my.zakupki.prom.ua/remote/dispatcher/state_contracting_view/5003309", "UA-2020-07-27-001637-c-c1")</f>
        <v/>
      </c>
      <c r="E560" t="s" s="1">
        <v>880</v>
      </c>
      <c r="F560" t="s" s="1">
        <v>2931</v>
      </c>
      <c r="G560" t="s" s="1">
        <v>2931</v>
      </c>
      <c r="H560" t="s" s="1">
        <v>724</v>
      </c>
      <c r="I560" t="s" s="1">
        <v>3313</v>
      </c>
      <c r="J560" t="s" s="1">
        <v>3409</v>
      </c>
      <c r="K560" t="s" s="1">
        <v>823</v>
      </c>
      <c r="L560" t="s" s="1">
        <v>301</v>
      </c>
      <c r="M560" t="n" s="5">
        <v>10844.45</v>
      </c>
      <c r="N560" t="n" s="7">
        <v>44046.0</v>
      </c>
      <c r="O560" t="n" s="7">
        <v>44196.0</v>
      </c>
      <c r="P560" t="s" s="1">
        <v>3499</v>
      </c>
    </row>
    <row r="561" spans="1:16">
      <c r="A561" t="n" s="4">
        <v>556</v>
      </c>
      <c r="B561" s="2">
        <f>HYPERLINK("https://my.zakupki.prom.ua/remote/dispatcher/state_purchase_view/18186710", "UA-2020-07-29-002801-c")</f>
        <v/>
      </c>
      <c r="C561" t="s" s="2">
        <v>3245</v>
      </c>
      <c r="D561" s="2">
        <f>HYPERLINK("https://my.zakupki.prom.ua/remote/dispatcher/state_contracting_view/4973535", "UA-2020-07-29-002801-c-c1")</f>
        <v/>
      </c>
      <c r="E561" t="s" s="1">
        <v>1197</v>
      </c>
      <c r="F561" t="s" s="1">
        <v>2749</v>
      </c>
      <c r="G561" t="s" s="1">
        <v>2749</v>
      </c>
      <c r="H561" t="s" s="1">
        <v>690</v>
      </c>
      <c r="I561" t="s" s="1">
        <v>2361</v>
      </c>
      <c r="J561" t="s" s="1">
        <v>3249</v>
      </c>
      <c r="K561" t="s" s="1">
        <v>419</v>
      </c>
      <c r="L561" t="s" s="1">
        <v>843</v>
      </c>
      <c r="M561" t="n" s="5">
        <v>47200.0</v>
      </c>
      <c r="N561" t="n" s="7">
        <v>44040.0</v>
      </c>
      <c r="O561" t="n" s="7">
        <v>44196.0</v>
      </c>
      <c r="P561" t="s" s="1">
        <v>3499</v>
      </c>
    </row>
    <row r="562" spans="1:16">
      <c r="A562" t="n" s="4">
        <v>557</v>
      </c>
      <c r="B562" s="2">
        <f>HYPERLINK("https://my.zakupki.prom.ua/remote/dispatcher/state_purchase_view/18233261", "UA-2020-07-31-000790-c")</f>
        <v/>
      </c>
      <c r="C562" t="s" s="2">
        <v>3245</v>
      </c>
      <c r="D562" s="2">
        <f>HYPERLINK("https://my.zakupki.prom.ua/remote/dispatcher/state_contracting_view/4995167", "UA-2020-07-31-000790-c-c1")</f>
        <v/>
      </c>
      <c r="E562" t="s" s="1">
        <v>2217</v>
      </c>
      <c r="F562" t="s" s="1">
        <v>3107</v>
      </c>
      <c r="G562" t="s" s="1">
        <v>3107</v>
      </c>
      <c r="H562" t="s" s="1">
        <v>1307</v>
      </c>
      <c r="I562" t="s" s="1">
        <v>2361</v>
      </c>
      <c r="J562" t="s" s="1">
        <v>2286</v>
      </c>
      <c r="K562" t="s" s="1">
        <v>54</v>
      </c>
      <c r="L562" t="s" s="1">
        <v>254</v>
      </c>
      <c r="M562" t="n" s="5">
        <v>48000.0</v>
      </c>
      <c r="N562" t="n" s="7">
        <v>44042.0</v>
      </c>
      <c r="O562" t="n" s="7">
        <v>44196.0</v>
      </c>
      <c r="P562" t="s" s="1">
        <v>3499</v>
      </c>
    </row>
    <row r="563" spans="1:16">
      <c r="A563" t="n" s="4">
        <v>558</v>
      </c>
      <c r="B563" s="2">
        <f>HYPERLINK("https://my.zakupki.prom.ua/remote/dispatcher/state_purchase_view/17035399", "UA-2020-06-03-007819-b")</f>
        <v/>
      </c>
      <c r="C563" t="s" s="2">
        <v>3245</v>
      </c>
      <c r="D563" s="2">
        <f>HYPERLINK("https://my.zakupki.prom.ua/remote/dispatcher/state_contracting_view/4438956", "UA-2020-06-03-007819-b-b1")</f>
        <v/>
      </c>
      <c r="E563" t="s" s="1">
        <v>1300</v>
      </c>
      <c r="F563" t="s" s="1">
        <v>3334</v>
      </c>
      <c r="G563" t="s" s="1">
        <v>3334</v>
      </c>
      <c r="H563" t="s" s="1">
        <v>205</v>
      </c>
      <c r="I563" t="s" s="1">
        <v>2361</v>
      </c>
      <c r="J563" t="s" s="1">
        <v>3467</v>
      </c>
      <c r="K563" t="s" s="1">
        <v>766</v>
      </c>
      <c r="L563" t="s" s="1">
        <v>244</v>
      </c>
      <c r="M563" t="n" s="5">
        <v>11815.78</v>
      </c>
      <c r="N563" t="n" s="7">
        <v>43984.0</v>
      </c>
      <c r="O563" t="n" s="7">
        <v>44196.0</v>
      </c>
      <c r="P563" t="s" s="1">
        <v>3499</v>
      </c>
    </row>
    <row r="564" spans="1:16">
      <c r="A564" t="n" s="4">
        <v>559</v>
      </c>
      <c r="B564" s="2">
        <f>HYPERLINK("https://my.zakupki.prom.ua/remote/dispatcher/state_purchase_view/17983731", "UA-2020-07-20-005124-b")</f>
        <v/>
      </c>
      <c r="C564" t="s" s="2">
        <v>3245</v>
      </c>
      <c r="D564" s="2">
        <f>HYPERLINK("https://my.zakupki.prom.ua/remote/dispatcher/state_contracting_view/4878098", "UA-2020-07-20-005124-b-b1")</f>
        <v/>
      </c>
      <c r="E564" t="s" s="1">
        <v>1659</v>
      </c>
      <c r="F564" t="s" s="1">
        <v>2968</v>
      </c>
      <c r="G564" t="s" s="1">
        <v>2968</v>
      </c>
      <c r="H564" t="s" s="1">
        <v>762</v>
      </c>
      <c r="I564" t="s" s="1">
        <v>2361</v>
      </c>
      <c r="J564" t="s" s="1">
        <v>2375</v>
      </c>
      <c r="K564" t="s" s="1">
        <v>649</v>
      </c>
      <c r="L564" t="s" s="1">
        <v>785</v>
      </c>
      <c r="M564" t="n" s="5">
        <v>30000.0</v>
      </c>
      <c r="N564" t="n" s="7">
        <v>44032.0</v>
      </c>
      <c r="O564" t="n" s="7">
        <v>44196.0</v>
      </c>
      <c r="P564" t="s" s="1">
        <v>3499</v>
      </c>
    </row>
    <row r="565" spans="1:16">
      <c r="A565" t="n" s="4">
        <v>560</v>
      </c>
      <c r="B565" s="2">
        <f>HYPERLINK("https://my.zakupki.prom.ua/remote/dispatcher/state_purchase_view/18150024", "UA-2020-07-28-000392-c")</f>
        <v/>
      </c>
      <c r="C565" t="s" s="2">
        <v>3245</v>
      </c>
      <c r="D565" s="2">
        <f>HYPERLINK("https://my.zakupki.prom.ua/remote/dispatcher/state_contracting_view/4956336", "UA-2020-07-28-000392-c-c1")</f>
        <v/>
      </c>
      <c r="E565" t="s" s="1">
        <v>894</v>
      </c>
      <c r="F565" t="s" s="1">
        <v>2784</v>
      </c>
      <c r="G565" t="s" s="1">
        <v>2784</v>
      </c>
      <c r="H565" t="s" s="1">
        <v>690</v>
      </c>
      <c r="I565" t="s" s="1">
        <v>2361</v>
      </c>
      <c r="J565" t="s" s="1">
        <v>3401</v>
      </c>
      <c r="K565" t="s" s="1">
        <v>851</v>
      </c>
      <c r="L565" t="s" s="1">
        <v>3224</v>
      </c>
      <c r="M565" t="n" s="5">
        <v>19706.0</v>
      </c>
      <c r="N565" t="n" s="7">
        <v>44040.0</v>
      </c>
      <c r="O565" t="n" s="7">
        <v>44196.0</v>
      </c>
      <c r="P565" t="s" s="1">
        <v>3499</v>
      </c>
    </row>
    <row r="566" spans="1:16">
      <c r="A566" t="n" s="4">
        <v>561</v>
      </c>
      <c r="B566" s="2">
        <f>HYPERLINK("https://my.zakupki.prom.ua/remote/dispatcher/state_purchase_view/17960866", "UA-2020-07-17-005763-b")</f>
        <v/>
      </c>
      <c r="C566" t="s" s="2">
        <v>3245</v>
      </c>
      <c r="D566" s="2">
        <f>HYPERLINK("https://my.zakupki.prom.ua/remote/dispatcher/state_contracting_view/4867027", "UA-2020-07-17-005763-b-b1")</f>
        <v/>
      </c>
      <c r="E566" t="s" s="1">
        <v>1618</v>
      </c>
      <c r="F566" t="s" s="1">
        <v>2662</v>
      </c>
      <c r="G566" t="s" s="1">
        <v>2662</v>
      </c>
      <c r="H566" t="s" s="1">
        <v>445</v>
      </c>
      <c r="I566" t="s" s="1">
        <v>2361</v>
      </c>
      <c r="J566" t="s" s="1">
        <v>3418</v>
      </c>
      <c r="K566" t="s" s="1">
        <v>949</v>
      </c>
      <c r="L566" t="s" s="1">
        <v>731</v>
      </c>
      <c r="M566" t="n" s="5">
        <v>12648.0</v>
      </c>
      <c r="N566" t="n" s="7">
        <v>44029.0</v>
      </c>
      <c r="O566" t="n" s="7">
        <v>44196.0</v>
      </c>
      <c r="P566" t="s" s="1">
        <v>3499</v>
      </c>
    </row>
    <row r="567" spans="1:16">
      <c r="A567" t="n" s="4">
        <v>562</v>
      </c>
      <c r="B567" s="2">
        <f>HYPERLINK("https://my.zakupki.prom.ua/remote/dispatcher/state_purchase_view/18340635", "UA-2020-08-05-007734-a")</f>
        <v/>
      </c>
      <c r="C567" t="s" s="2">
        <v>3245</v>
      </c>
      <c r="D567" s="2">
        <f>HYPERLINK("https://my.zakupki.prom.ua/remote/dispatcher/state_contracting_view/5044155", "UA-2020-08-05-007734-a-a1")</f>
        <v/>
      </c>
      <c r="E567" t="s" s="1">
        <v>1887</v>
      </c>
      <c r="F567" t="s" s="1">
        <v>2589</v>
      </c>
      <c r="G567" t="s" s="1">
        <v>2589</v>
      </c>
      <c r="H567" t="s" s="1">
        <v>219</v>
      </c>
      <c r="I567" t="s" s="1">
        <v>2361</v>
      </c>
      <c r="J567" t="s" s="1">
        <v>3467</v>
      </c>
      <c r="K567" t="s" s="1">
        <v>766</v>
      </c>
      <c r="L567" t="s" s="1">
        <v>975</v>
      </c>
      <c r="M567" t="n" s="5">
        <v>11028.0</v>
      </c>
      <c r="N567" t="n" s="7">
        <v>44047.0</v>
      </c>
      <c r="O567" t="n" s="7">
        <v>44196.0</v>
      </c>
      <c r="P567" t="s" s="1">
        <v>3499</v>
      </c>
    </row>
    <row r="568" spans="1:16">
      <c r="A568" t="n" s="4">
        <v>563</v>
      </c>
      <c r="B568" s="2">
        <f>HYPERLINK("https://my.zakupki.prom.ua/remote/dispatcher/state_purchase_view/18317202", "UA-2020-08-05-001418-a")</f>
        <v/>
      </c>
      <c r="C568" t="s" s="2">
        <v>3245</v>
      </c>
      <c r="D568" s="2">
        <f>HYPERLINK("https://my.zakupki.prom.ua/remote/dispatcher/state_contracting_view/5033014", "UA-2020-08-05-001418-a-a1")</f>
        <v/>
      </c>
      <c r="E568" t="s" s="1">
        <v>889</v>
      </c>
      <c r="F568" t="s" s="1">
        <v>2918</v>
      </c>
      <c r="G568" t="s" s="1">
        <v>3553</v>
      </c>
      <c r="H568" t="s" s="1">
        <v>718</v>
      </c>
      <c r="I568" t="s" s="1">
        <v>2361</v>
      </c>
      <c r="J568" t="s" s="1">
        <v>3392</v>
      </c>
      <c r="K568" t="s" s="1">
        <v>428</v>
      </c>
      <c r="L568" t="s" s="1">
        <v>947</v>
      </c>
      <c r="M568" t="n" s="5">
        <v>94688.46</v>
      </c>
      <c r="N568" t="n" s="7">
        <v>44048.0</v>
      </c>
      <c r="O568" t="n" s="7">
        <v>44196.0</v>
      </c>
      <c r="P568" t="s" s="1">
        <v>3499</v>
      </c>
    </row>
    <row r="569" spans="1:16">
      <c r="A569" t="n" s="4">
        <v>564</v>
      </c>
      <c r="B569" s="2">
        <f>HYPERLINK("https://my.zakupki.prom.ua/remote/dispatcher/state_purchase_view/18514169", "UA-2020-08-13-001633-a")</f>
        <v/>
      </c>
      <c r="C569" t="s" s="2">
        <v>3245</v>
      </c>
      <c r="D569" s="2">
        <f>HYPERLINK("https://my.zakupki.prom.ua/remote/dispatcher/state_contracting_view/5125377", "UA-2020-08-13-001633-a-a1")</f>
        <v/>
      </c>
      <c r="E569" t="s" s="1">
        <v>143</v>
      </c>
      <c r="F569" t="s" s="1">
        <v>2690</v>
      </c>
      <c r="G569" t="s" s="1">
        <v>2690</v>
      </c>
      <c r="H569" t="s" s="1">
        <v>590</v>
      </c>
      <c r="I569" t="s" s="1">
        <v>2361</v>
      </c>
      <c r="J569" t="s" s="1">
        <v>3384</v>
      </c>
      <c r="K569" t="s" s="1">
        <v>930</v>
      </c>
      <c r="L569" t="s" s="1">
        <v>109</v>
      </c>
      <c r="M569" t="n" s="5">
        <v>1420.0</v>
      </c>
      <c r="N569" t="n" s="7">
        <v>44054.0</v>
      </c>
      <c r="O569" t="n" s="7">
        <v>44196.0</v>
      </c>
      <c r="P569" t="s" s="1">
        <v>3499</v>
      </c>
    </row>
    <row r="570" spans="1:16">
      <c r="A570" t="n" s="4">
        <v>565</v>
      </c>
      <c r="B570" s="2">
        <f>HYPERLINK("https://my.zakupki.prom.ua/remote/dispatcher/state_purchase_view/18523681", "UA-2020-08-13-004205-a")</f>
        <v/>
      </c>
      <c r="C570" t="s" s="2">
        <v>3245</v>
      </c>
      <c r="D570" s="2">
        <f>HYPERLINK("https://my.zakupki.prom.ua/remote/dispatcher/state_contracting_view/5129794", "UA-2020-08-13-004205-a-a1")</f>
        <v/>
      </c>
      <c r="E570" t="s" s="1">
        <v>2011</v>
      </c>
      <c r="F570" t="s" s="1">
        <v>2806</v>
      </c>
      <c r="G570" t="s" s="1">
        <v>2806</v>
      </c>
      <c r="H570" t="s" s="1">
        <v>690</v>
      </c>
      <c r="I570" t="s" s="1">
        <v>2361</v>
      </c>
      <c r="J570" t="s" s="1">
        <v>3402</v>
      </c>
      <c r="K570" t="s" s="1">
        <v>375</v>
      </c>
      <c r="L570" t="s" s="1">
        <v>427</v>
      </c>
      <c r="M570" t="n" s="5">
        <v>2760.0</v>
      </c>
      <c r="N570" t="n" s="7">
        <v>44056.0</v>
      </c>
      <c r="O570" t="n" s="7">
        <v>44196.0</v>
      </c>
      <c r="P570" t="s" s="1">
        <v>3499</v>
      </c>
    </row>
    <row r="571" spans="1:16">
      <c r="A571" t="n" s="4">
        <v>566</v>
      </c>
      <c r="B571" s="2">
        <f>HYPERLINK("https://my.zakupki.prom.ua/remote/dispatcher/state_purchase_view/18555361", "UA-2020-08-14-003689-a")</f>
        <v/>
      </c>
      <c r="C571" t="s" s="2">
        <v>3245</v>
      </c>
      <c r="D571" s="2">
        <f>HYPERLINK("https://my.zakupki.prom.ua/remote/dispatcher/state_contracting_view/5144969", "UA-2020-08-14-003689-a-a1")</f>
        <v/>
      </c>
      <c r="E571" t="s" s="1">
        <v>2037</v>
      </c>
      <c r="F571" t="s" s="1">
        <v>2508</v>
      </c>
      <c r="G571" t="s" s="1">
        <v>2508</v>
      </c>
      <c r="H571" t="s" s="1">
        <v>39</v>
      </c>
      <c r="I571" t="s" s="1">
        <v>2361</v>
      </c>
      <c r="J571" t="s" s="1">
        <v>3467</v>
      </c>
      <c r="K571" t="s" s="1">
        <v>766</v>
      </c>
      <c r="L571" t="s" s="1">
        <v>1091</v>
      </c>
      <c r="M571" t="n" s="5">
        <v>2950.0</v>
      </c>
      <c r="N571" t="n" s="7">
        <v>44057.0</v>
      </c>
      <c r="O571" t="n" s="7">
        <v>44196.0</v>
      </c>
      <c r="P571" t="s" s="1">
        <v>3499</v>
      </c>
    </row>
    <row r="572" spans="1:16">
      <c r="A572" t="n" s="4">
        <v>567</v>
      </c>
      <c r="B572" s="2">
        <f>HYPERLINK("https://my.zakupki.prom.ua/remote/dispatcher/state_purchase_view/18597900", "UA-2020-08-17-006473-a")</f>
        <v/>
      </c>
      <c r="C572" t="s" s="2">
        <v>3245</v>
      </c>
      <c r="D572" s="2">
        <f>HYPERLINK("https://my.zakupki.prom.ua/remote/dispatcher/state_contracting_view/5164527", "UA-2020-08-17-006473-a-a1")</f>
        <v/>
      </c>
      <c r="E572" t="s" s="1">
        <v>1955</v>
      </c>
      <c r="F572" t="s" s="1">
        <v>2773</v>
      </c>
      <c r="G572" t="s" s="1">
        <v>2773</v>
      </c>
      <c r="H572" t="s" s="1">
        <v>690</v>
      </c>
      <c r="I572" t="s" s="1">
        <v>2361</v>
      </c>
      <c r="J572" t="s" s="1">
        <v>3392</v>
      </c>
      <c r="K572" t="s" s="1">
        <v>428</v>
      </c>
      <c r="L572" t="s" s="1">
        <v>1097</v>
      </c>
      <c r="M572" t="n" s="5">
        <v>8431.5</v>
      </c>
      <c r="N572" t="n" s="7">
        <v>44060.0</v>
      </c>
      <c r="O572" t="n" s="7">
        <v>44196.0</v>
      </c>
      <c r="P572" t="s" s="1">
        <v>3499</v>
      </c>
    </row>
    <row r="573" spans="1:16">
      <c r="A573" t="n" s="4">
        <v>568</v>
      </c>
      <c r="B573" s="2">
        <f>HYPERLINK("https://my.zakupki.prom.ua/remote/dispatcher/state_purchase_view/19732788", "UA-2020-10-01-000314-a")</f>
        <v/>
      </c>
      <c r="C573" t="s" s="2">
        <v>3245</v>
      </c>
      <c r="D573" s="2">
        <f>HYPERLINK("https://my.zakupki.prom.ua/remote/dispatcher/state_contracting_view/5702769", "UA-2020-10-01-000314-a-a1")</f>
        <v/>
      </c>
      <c r="E573" t="s" s="1">
        <v>906</v>
      </c>
      <c r="F573" t="s" s="1">
        <v>2798</v>
      </c>
      <c r="G573" t="s" s="1">
        <v>2798</v>
      </c>
      <c r="H573" t="s" s="1">
        <v>690</v>
      </c>
      <c r="I573" t="s" s="1">
        <v>2361</v>
      </c>
      <c r="J573" t="s" s="1">
        <v>3403</v>
      </c>
      <c r="K573" t="s" s="1">
        <v>771</v>
      </c>
      <c r="L573" t="s" s="1">
        <v>1412</v>
      </c>
      <c r="M573" t="n" s="5">
        <v>80421.4</v>
      </c>
      <c r="N573" t="n" s="7">
        <v>44105.0</v>
      </c>
      <c r="O573" t="n" s="7">
        <v>44196.0</v>
      </c>
      <c r="P573" t="s" s="1">
        <v>3499</v>
      </c>
    </row>
    <row r="574" spans="1:16">
      <c r="A574" t="n" s="4">
        <v>569</v>
      </c>
      <c r="B574" s="2">
        <f>HYPERLINK("https://my.zakupki.prom.ua/remote/dispatcher/state_purchase_view/18995989", "UA-2020-09-03-008825-b")</f>
        <v/>
      </c>
      <c r="C574" t="s" s="2">
        <v>3245</v>
      </c>
      <c r="D574" s="2">
        <f>HYPERLINK("https://my.zakupki.prom.ua/remote/dispatcher/state_contracting_view/5354497", "UA-2020-09-03-008825-b-b1")</f>
        <v/>
      </c>
      <c r="E574" t="s" s="1">
        <v>1920</v>
      </c>
      <c r="F574" t="s" s="1">
        <v>3034</v>
      </c>
      <c r="G574" t="s" s="1">
        <v>3034</v>
      </c>
      <c r="H574" t="s" s="1">
        <v>873</v>
      </c>
      <c r="I574" t="s" s="1">
        <v>2361</v>
      </c>
      <c r="J574" t="s" s="1">
        <v>2305</v>
      </c>
      <c r="K574" t="s" s="1">
        <v>361</v>
      </c>
      <c r="L574" t="s" s="1">
        <v>1228</v>
      </c>
      <c r="M574" t="n" s="5">
        <v>680.0</v>
      </c>
      <c r="N574" t="n" s="7">
        <v>44077.0</v>
      </c>
      <c r="O574" t="n" s="7">
        <v>44196.0</v>
      </c>
      <c r="P574" t="s" s="1">
        <v>3499</v>
      </c>
    </row>
    <row r="575" spans="1:16">
      <c r="A575" t="n" s="4">
        <v>570</v>
      </c>
      <c r="B575" s="2">
        <f>HYPERLINK("https://my.zakupki.prom.ua/remote/dispatcher/state_purchase_view/19089364", "UA-2020-09-08-004198-b")</f>
        <v/>
      </c>
      <c r="C575" t="s" s="2">
        <v>3245</v>
      </c>
      <c r="D575" s="2">
        <f>HYPERLINK("https://my.zakupki.prom.ua/remote/dispatcher/state_contracting_view/5398509", "UA-2020-09-08-004198-b-b1")</f>
        <v/>
      </c>
      <c r="E575" t="s" s="1">
        <v>1604</v>
      </c>
      <c r="F575" t="s" s="1">
        <v>2795</v>
      </c>
      <c r="G575" t="s" s="1">
        <v>2795</v>
      </c>
      <c r="H575" t="s" s="1">
        <v>690</v>
      </c>
      <c r="I575" t="s" s="1">
        <v>2361</v>
      </c>
      <c r="J575" t="s" s="1">
        <v>3424</v>
      </c>
      <c r="K575" t="s" s="1">
        <v>375</v>
      </c>
      <c r="L575" t="s" s="1">
        <v>485</v>
      </c>
      <c r="M575" t="n" s="5">
        <v>44180.0</v>
      </c>
      <c r="N575" t="n" s="7">
        <v>44081.0</v>
      </c>
      <c r="O575" t="n" s="7">
        <v>44196.0</v>
      </c>
      <c r="P575" t="s" s="1">
        <v>3499</v>
      </c>
    </row>
    <row r="576" spans="1:16">
      <c r="A576" t="n" s="4">
        <v>571</v>
      </c>
      <c r="B576" s="2">
        <f>HYPERLINK("https://my.zakupki.prom.ua/remote/dispatcher/state_purchase_view/19429160", "UA-2020-09-21-001801-b")</f>
        <v/>
      </c>
      <c r="C576" t="s" s="2">
        <v>3245</v>
      </c>
      <c r="D576" s="2">
        <f>HYPERLINK("https://my.zakupki.prom.ua/remote/dispatcher/state_contracting_view/5559651", "UA-2020-09-21-001801-b-b1")</f>
        <v/>
      </c>
      <c r="E576" t="s" s="1">
        <v>23</v>
      </c>
      <c r="F576" t="s" s="1">
        <v>2673</v>
      </c>
      <c r="G576" t="s" s="1">
        <v>2673</v>
      </c>
      <c r="H576" t="s" s="1">
        <v>445</v>
      </c>
      <c r="I576" t="s" s="1">
        <v>2361</v>
      </c>
      <c r="J576" t="s" s="1">
        <v>3418</v>
      </c>
      <c r="K576" t="s" s="1">
        <v>949</v>
      </c>
      <c r="L576" t="s" s="1">
        <v>3194</v>
      </c>
      <c r="M576" t="n" s="5">
        <v>840.0</v>
      </c>
      <c r="N576" t="n" s="7">
        <v>44095.0</v>
      </c>
      <c r="O576" t="n" s="7">
        <v>44196.0</v>
      </c>
      <c r="P576" t="s" s="1">
        <v>3499</v>
      </c>
    </row>
    <row r="577" spans="1:16">
      <c r="A577" t="n" s="4">
        <v>572</v>
      </c>
      <c r="B577" s="2">
        <f>HYPERLINK("https://my.zakupki.prom.ua/remote/dispatcher/state_purchase_view/19129149", "UA-2020-09-09-004955-b")</f>
        <v/>
      </c>
      <c r="C577" t="s" s="2">
        <v>3245</v>
      </c>
      <c r="D577" s="2">
        <f>HYPERLINK("https://my.zakupki.prom.ua/remote/dispatcher/state_contracting_view/5417001", "UA-2020-09-09-004955-b-b1")</f>
        <v/>
      </c>
      <c r="E577" t="s" s="1">
        <v>934</v>
      </c>
      <c r="F577" t="s" s="1">
        <v>2937</v>
      </c>
      <c r="G577" t="s" s="1">
        <v>2937</v>
      </c>
      <c r="H577" t="s" s="1">
        <v>725</v>
      </c>
      <c r="I577" t="s" s="1">
        <v>2361</v>
      </c>
      <c r="J577" t="s" s="1">
        <v>3302</v>
      </c>
      <c r="K577" t="s" s="1">
        <v>617</v>
      </c>
      <c r="L577" t="s" s="1">
        <v>1257</v>
      </c>
      <c r="M577" t="n" s="5">
        <v>5593.11</v>
      </c>
      <c r="N577" t="n" s="7">
        <v>44083.0</v>
      </c>
      <c r="O577" t="n" s="7">
        <v>44196.0</v>
      </c>
      <c r="P577" t="s" s="1">
        <v>3499</v>
      </c>
    </row>
    <row r="578" spans="1:16">
      <c r="A578" t="n" s="4">
        <v>573</v>
      </c>
      <c r="B578" s="2">
        <f>HYPERLINK("https://my.zakupki.prom.ua/remote/dispatcher/state_purchase_view/19018698", "UA-2020-09-04-006344-b")</f>
        <v/>
      </c>
      <c r="C578" t="s" s="2">
        <v>3245</v>
      </c>
      <c r="D578" s="2">
        <f>HYPERLINK("https://my.zakupki.prom.ua/remote/dispatcher/state_contracting_view/5365055", "UA-2020-09-04-006344-b-b1")</f>
        <v/>
      </c>
      <c r="E578" t="s" s="1">
        <v>1541</v>
      </c>
      <c r="F578" t="s" s="1">
        <v>2979</v>
      </c>
      <c r="G578" t="s" s="1">
        <v>2979</v>
      </c>
      <c r="H578" t="s" s="1">
        <v>830</v>
      </c>
      <c r="I578" t="s" s="1">
        <v>2361</v>
      </c>
      <c r="J578" t="s" s="1">
        <v>2356</v>
      </c>
      <c r="K578" t="s" s="1">
        <v>424</v>
      </c>
      <c r="L578" t="s" s="1">
        <v>1232</v>
      </c>
      <c r="M578" t="n" s="5">
        <v>47010.0</v>
      </c>
      <c r="N578" t="n" s="7">
        <v>44078.0</v>
      </c>
      <c r="O578" t="n" s="7">
        <v>44196.0</v>
      </c>
      <c r="P578" t="s" s="1">
        <v>3499</v>
      </c>
    </row>
    <row r="579" spans="1:16">
      <c r="A579" t="n" s="4">
        <v>574</v>
      </c>
      <c r="B579" s="2">
        <f>HYPERLINK("https://my.zakupki.prom.ua/remote/dispatcher/state_purchase_view/19361567", "UA-2020-09-17-005661-a")</f>
        <v/>
      </c>
      <c r="C579" t="s" s="2">
        <v>3245</v>
      </c>
      <c r="D579" s="2">
        <f>HYPERLINK("https://my.zakupki.prom.ua/remote/dispatcher/state_contracting_view/5527583", "UA-2020-09-17-005661-a-a1")</f>
        <v/>
      </c>
      <c r="E579" t="s" s="1">
        <v>1873</v>
      </c>
      <c r="F579" t="s" s="1">
        <v>2817</v>
      </c>
      <c r="G579" t="s" s="1">
        <v>2817</v>
      </c>
      <c r="H579" t="s" s="1">
        <v>695</v>
      </c>
      <c r="I579" t="s" s="1">
        <v>2361</v>
      </c>
      <c r="J579" t="s" s="1">
        <v>3403</v>
      </c>
      <c r="K579" t="s" s="1">
        <v>771</v>
      </c>
      <c r="L579" t="s" s="1">
        <v>1347</v>
      </c>
      <c r="M579" t="n" s="5">
        <v>59250.0</v>
      </c>
      <c r="N579" t="n" s="7">
        <v>44091.0</v>
      </c>
      <c r="O579" t="n" s="7">
        <v>44196.0</v>
      </c>
      <c r="P579" t="s" s="1">
        <v>3499</v>
      </c>
    </row>
    <row r="580" spans="1:16">
      <c r="A580" t="n" s="4">
        <v>575</v>
      </c>
      <c r="B580" s="2">
        <f>HYPERLINK("https://my.zakupki.prom.ua/remote/dispatcher/state_purchase_view/19932662", "UA-2020-10-08-002309-a")</f>
        <v/>
      </c>
      <c r="C580" t="s" s="2">
        <v>3245</v>
      </c>
      <c r="D580" s="2">
        <f>HYPERLINK("https://my.zakupki.prom.ua/remote/dispatcher/state_contracting_view/5796112", "UA-2020-10-08-002309-a-a1")</f>
        <v/>
      </c>
      <c r="E580" t="s" s="1">
        <v>1461</v>
      </c>
      <c r="F580" t="s" s="1">
        <v>2643</v>
      </c>
      <c r="G580" t="s" s="1">
        <v>2643</v>
      </c>
      <c r="H580" t="s" s="1">
        <v>402</v>
      </c>
      <c r="I580" t="s" s="1">
        <v>2361</v>
      </c>
      <c r="J580" t="s" s="1">
        <v>2312</v>
      </c>
      <c r="K580" t="s" s="1">
        <v>346</v>
      </c>
      <c r="L580" t="s" s="1">
        <v>1485</v>
      </c>
      <c r="M580" t="n" s="5">
        <v>1340.0</v>
      </c>
      <c r="N580" t="n" s="7">
        <v>44112.0</v>
      </c>
      <c r="O580" t="n" s="7">
        <v>44196.0</v>
      </c>
      <c r="P580" t="s" s="1">
        <v>3499</v>
      </c>
    </row>
    <row r="581" spans="1:16">
      <c r="A581" t="n" s="4">
        <v>576</v>
      </c>
      <c r="B581" s="2">
        <f>HYPERLINK("https://my.zakupki.prom.ua/remote/dispatcher/state_purchase_view/20037467", "UA-2020-10-12-006364-c")</f>
        <v/>
      </c>
      <c r="C581" t="s" s="2">
        <v>3245</v>
      </c>
      <c r="D581" s="2">
        <f>HYPERLINK("https://my.zakupki.prom.ua/remote/dispatcher/state_contracting_view/5845188", "UA-2020-10-12-006364-c-c1")</f>
        <v/>
      </c>
      <c r="E581" t="s" s="1">
        <v>1876</v>
      </c>
      <c r="F581" t="s" s="1">
        <v>2765</v>
      </c>
      <c r="G581" t="s" s="1">
        <v>3507</v>
      </c>
      <c r="H581" t="s" s="1">
        <v>690</v>
      </c>
      <c r="I581" t="s" s="1">
        <v>2361</v>
      </c>
      <c r="J581" t="s" s="1">
        <v>3377</v>
      </c>
      <c r="K581" t="s" s="1">
        <v>722</v>
      </c>
      <c r="L581" t="s" s="1">
        <v>474</v>
      </c>
      <c r="M581" t="n" s="5">
        <v>185025.0</v>
      </c>
      <c r="N581" t="n" s="7">
        <v>44116.0</v>
      </c>
      <c r="O581" t="n" s="7">
        <v>44196.0</v>
      </c>
      <c r="P581" t="s" s="1">
        <v>3499</v>
      </c>
    </row>
    <row r="582" spans="1:16">
      <c r="A582" t="n" s="4">
        <v>577</v>
      </c>
      <c r="B582" s="2">
        <f>HYPERLINK("https://my.zakupki.prom.ua/remote/dispatcher/state_purchase_view/20112365", "UA-2020-10-15-003903-c")</f>
        <v/>
      </c>
      <c r="C582" t="s" s="2">
        <v>3245</v>
      </c>
      <c r="D582" s="2">
        <f>HYPERLINK("https://my.zakupki.prom.ua/remote/dispatcher/state_contracting_view/5880856", "UA-2020-10-15-003903-c-c1")</f>
        <v/>
      </c>
      <c r="E582" t="s" s="1">
        <v>2097</v>
      </c>
      <c r="F582" t="s" s="1">
        <v>2505</v>
      </c>
      <c r="G582" t="s" s="1">
        <v>2505</v>
      </c>
      <c r="H582" t="s" s="1">
        <v>38</v>
      </c>
      <c r="I582" t="s" s="1">
        <v>2361</v>
      </c>
      <c r="J582" t="s" s="1">
        <v>3467</v>
      </c>
      <c r="K582" t="s" s="1">
        <v>766</v>
      </c>
      <c r="L582" t="s" s="1">
        <v>1529</v>
      </c>
      <c r="M582" t="n" s="5">
        <v>1800.0</v>
      </c>
      <c r="N582" t="n" s="7">
        <v>44116.0</v>
      </c>
      <c r="O582" t="n" s="7">
        <v>44196.0</v>
      </c>
      <c r="P582" t="s" s="1">
        <v>3499</v>
      </c>
    </row>
    <row r="583" spans="1:16">
      <c r="A583" t="n" s="4">
        <v>578</v>
      </c>
      <c r="B583" s="2">
        <f>HYPERLINK("https://my.zakupki.prom.ua/remote/dispatcher/state_purchase_view/20207888", "UA-2020-10-19-003783-c")</f>
        <v/>
      </c>
      <c r="C583" t="s" s="2">
        <v>3245</v>
      </c>
      <c r="D583" s="2">
        <f>HYPERLINK("https://my.zakupki.prom.ua/remote/dispatcher/state_contracting_view/5926519", "UA-2020-10-19-003783-c-c1")</f>
        <v/>
      </c>
      <c r="E583" t="s" s="1">
        <v>1090</v>
      </c>
      <c r="F583" t="s" s="1">
        <v>2955</v>
      </c>
      <c r="G583" t="s" s="1">
        <v>2955</v>
      </c>
      <c r="H583" t="s" s="1">
        <v>733</v>
      </c>
      <c r="I583" t="s" s="1">
        <v>2361</v>
      </c>
      <c r="J583" t="s" s="1">
        <v>3467</v>
      </c>
      <c r="K583" t="s" s="1">
        <v>766</v>
      </c>
      <c r="L583" t="s" s="1">
        <v>1542</v>
      </c>
      <c r="M583" t="n" s="5">
        <v>290.0</v>
      </c>
      <c r="N583" t="n" s="7">
        <v>44120.0</v>
      </c>
      <c r="O583" t="n" s="7">
        <v>44196.0</v>
      </c>
      <c r="P583" t="s" s="1">
        <v>3499</v>
      </c>
    </row>
    <row r="584" spans="1:16">
      <c r="A584" t="n" s="4">
        <v>579</v>
      </c>
      <c r="B584" s="2">
        <f>HYPERLINK("https://my.zakupki.prom.ua/remote/dispatcher/state_purchase_view/18789839", "UA-2020-08-26-003560-a")</f>
        <v/>
      </c>
      <c r="C584" t="s" s="2">
        <v>3245</v>
      </c>
      <c r="D584" s="2">
        <f>HYPERLINK("https://my.zakupki.prom.ua/remote/dispatcher/state_contracting_view/5256865", "UA-2020-08-26-003560-a-a1")</f>
        <v/>
      </c>
      <c r="E584" t="s" s="1">
        <v>1935</v>
      </c>
      <c r="F584" t="s" s="1">
        <v>2504</v>
      </c>
      <c r="G584" t="s" s="1">
        <v>2504</v>
      </c>
      <c r="H584" t="s" s="1">
        <v>38</v>
      </c>
      <c r="I584" t="s" s="1">
        <v>2361</v>
      </c>
      <c r="J584" t="s" s="1">
        <v>3467</v>
      </c>
      <c r="K584" t="s" s="1">
        <v>766</v>
      </c>
      <c r="L584" t="s" s="1">
        <v>1178</v>
      </c>
      <c r="M584" t="n" s="5">
        <v>644.4</v>
      </c>
      <c r="N584" t="n" s="7">
        <v>44068.0</v>
      </c>
      <c r="O584" t="n" s="7">
        <v>44196.0</v>
      </c>
      <c r="P584" t="s" s="1">
        <v>3499</v>
      </c>
    </row>
    <row r="585" spans="1:16">
      <c r="A585" t="n" s="4">
        <v>580</v>
      </c>
      <c r="B585" s="2">
        <f>HYPERLINK("https://my.zakupki.prom.ua/remote/dispatcher/state_purchase_view/18474668", "UA-2020-08-12-000403-a")</f>
        <v/>
      </c>
      <c r="C585" t="s" s="2">
        <v>3245</v>
      </c>
      <c r="D585" s="2">
        <f>HYPERLINK("https://my.zakupki.prom.ua/remote/dispatcher/state_contracting_view/5106776", "UA-2020-08-12-000403-a-a1")</f>
        <v/>
      </c>
      <c r="E585" t="s" s="1">
        <v>1602</v>
      </c>
      <c r="F585" t="s" s="1">
        <v>2884</v>
      </c>
      <c r="G585" t="s" s="1">
        <v>2883</v>
      </c>
      <c r="H585" t="s" s="1">
        <v>718</v>
      </c>
      <c r="I585" t="s" s="1">
        <v>2361</v>
      </c>
      <c r="J585" t="s" s="1">
        <v>3392</v>
      </c>
      <c r="K585" t="s" s="1">
        <v>428</v>
      </c>
      <c r="L585" t="s" s="1">
        <v>1057</v>
      </c>
      <c r="M585" t="n" s="5">
        <v>2697.86</v>
      </c>
      <c r="N585" t="n" s="7">
        <v>44055.0</v>
      </c>
      <c r="O585" t="n" s="7">
        <v>44196.0</v>
      </c>
      <c r="P585" t="s" s="1">
        <v>3499</v>
      </c>
    </row>
    <row r="586" spans="1:16">
      <c r="A586" t="n" s="4">
        <v>581</v>
      </c>
      <c r="B586" s="2">
        <f>HYPERLINK("https://my.zakupki.prom.ua/remote/dispatcher/state_purchase_view/18283083", "UA-2020-08-04-000828-a")</f>
        <v/>
      </c>
      <c r="C586" t="s" s="2">
        <v>3245</v>
      </c>
      <c r="D586" s="2">
        <f>HYPERLINK("https://my.zakupki.prom.ua/remote/dispatcher/state_contracting_view/5076683", "UA-2020-08-04-000828-a-a1")</f>
        <v/>
      </c>
      <c r="E586" t="s" s="1">
        <v>1885</v>
      </c>
      <c r="F586" t="s" s="1">
        <v>2867</v>
      </c>
      <c r="G586" t="s" s="1">
        <v>3480</v>
      </c>
      <c r="H586" t="s" s="1">
        <v>718</v>
      </c>
      <c r="I586" t="s" s="1">
        <v>3313</v>
      </c>
      <c r="J586" t="s" s="1">
        <v>3302</v>
      </c>
      <c r="K586" t="s" s="1">
        <v>617</v>
      </c>
      <c r="L586" t="s" s="1">
        <v>1404</v>
      </c>
      <c r="M586" t="n" s="5">
        <v>74842.1</v>
      </c>
      <c r="N586" t="n" s="7">
        <v>44053.0</v>
      </c>
      <c r="O586" t="n" s="7">
        <v>44196.0</v>
      </c>
      <c r="P586" t="s" s="1">
        <v>3499</v>
      </c>
    </row>
    <row r="587" spans="1:16">
      <c r="A587" t="n" s="4">
        <v>582</v>
      </c>
      <c r="B587" s="2">
        <f>HYPERLINK("https://my.zakupki.prom.ua/remote/dispatcher/state_purchase_view/18576699", "UA-2020-08-17-000620-a")</f>
        <v/>
      </c>
      <c r="C587" t="s" s="2">
        <v>3245</v>
      </c>
      <c r="D587" s="2">
        <f>HYPERLINK("https://my.zakupki.prom.ua/remote/dispatcher/state_contracting_view/5155251", "UA-2020-08-17-000620-a-a1")</f>
        <v/>
      </c>
      <c r="E587" t="s" s="1">
        <v>2244</v>
      </c>
      <c r="F587" t="s" s="1">
        <v>2641</v>
      </c>
      <c r="G587" t="s" s="1">
        <v>2641</v>
      </c>
      <c r="H587" t="s" s="1">
        <v>386</v>
      </c>
      <c r="I587" t="s" s="1">
        <v>2361</v>
      </c>
      <c r="J587" t="s" s="1">
        <v>2312</v>
      </c>
      <c r="K587" t="s" s="1">
        <v>346</v>
      </c>
      <c r="L587" t="s" s="1">
        <v>1093</v>
      </c>
      <c r="M587" t="n" s="5">
        <v>1340.0</v>
      </c>
      <c r="N587" t="n" s="7">
        <v>44060.0</v>
      </c>
      <c r="O587" t="n" s="7">
        <v>44196.0</v>
      </c>
      <c r="P587" t="s" s="1">
        <v>3499</v>
      </c>
    </row>
    <row r="588" spans="1:16">
      <c r="A588" t="n" s="4">
        <v>583</v>
      </c>
      <c r="B588" s="2">
        <f>HYPERLINK("https://my.zakupki.prom.ua/remote/dispatcher/state_purchase_view/18202909", "UA-2020-07-29-008491-c")</f>
        <v/>
      </c>
      <c r="C588" t="s" s="2">
        <v>3245</v>
      </c>
      <c r="D588" s="2">
        <f>HYPERLINK("https://my.zakupki.prom.ua/remote/dispatcher/state_contracting_view/4981351", "UA-2020-07-29-008491-c-c1")</f>
        <v/>
      </c>
      <c r="E588" t="s" s="1">
        <v>1468</v>
      </c>
      <c r="F588" t="s" s="1">
        <v>2556</v>
      </c>
      <c r="G588" t="s" s="1">
        <v>2556</v>
      </c>
      <c r="H588" t="s" s="1">
        <v>213</v>
      </c>
      <c r="I588" t="s" s="1">
        <v>2361</v>
      </c>
      <c r="J588" t="s" s="1">
        <v>3467</v>
      </c>
      <c r="K588" t="s" s="1">
        <v>766</v>
      </c>
      <c r="L588" t="s" s="1">
        <v>872</v>
      </c>
      <c r="M588" t="n" s="5">
        <v>261.0</v>
      </c>
      <c r="N588" t="n" s="7">
        <v>44040.0</v>
      </c>
      <c r="O588" t="n" s="7">
        <v>44196.0</v>
      </c>
      <c r="P588" t="s" s="1">
        <v>3499</v>
      </c>
    </row>
    <row r="589" spans="1:16">
      <c r="A589" t="n" s="4">
        <v>584</v>
      </c>
      <c r="B589" s="2">
        <f>HYPERLINK("https://my.zakupki.prom.ua/remote/dispatcher/state_purchase_view/18258839", "UA-2020-08-03-002052-c")</f>
        <v/>
      </c>
      <c r="C589" t="s" s="2">
        <v>3245</v>
      </c>
      <c r="D589" s="2">
        <f>HYPERLINK("https://my.zakupki.prom.ua/remote/dispatcher/state_contracting_view/5005970", "UA-2020-08-03-002052-c-c1")</f>
        <v/>
      </c>
      <c r="E589" t="s" s="1">
        <v>159</v>
      </c>
      <c r="F589" t="s" s="1">
        <v>2826</v>
      </c>
      <c r="G589" t="s" s="1">
        <v>2826</v>
      </c>
      <c r="H589" t="s" s="1">
        <v>703</v>
      </c>
      <c r="I589" t="s" s="1">
        <v>2361</v>
      </c>
      <c r="J589" t="s" s="1">
        <v>3392</v>
      </c>
      <c r="K589" t="s" s="1">
        <v>428</v>
      </c>
      <c r="L589" t="s" s="1">
        <v>929</v>
      </c>
      <c r="M589" t="n" s="5">
        <v>4228.85</v>
      </c>
      <c r="N589" t="n" s="7">
        <v>44046.0</v>
      </c>
      <c r="O589" t="n" s="7">
        <v>44196.0</v>
      </c>
      <c r="P589" t="s" s="1">
        <v>3499</v>
      </c>
    </row>
    <row r="590" spans="1:16">
      <c r="A590" t="n" s="4">
        <v>585</v>
      </c>
      <c r="B590" s="2">
        <f>HYPERLINK("https://my.zakupki.prom.ua/remote/dispatcher/state_purchase_view/17420895", "UA-2020-06-22-008590-c")</f>
        <v/>
      </c>
      <c r="C590" t="s" s="2">
        <v>3245</v>
      </c>
      <c r="D590" s="2">
        <f>HYPERLINK("https://my.zakupki.prom.ua/remote/dispatcher/state_contracting_view/4615932", "UA-2020-06-22-008590-c-c1")</f>
        <v/>
      </c>
      <c r="E590" t="s" s="1">
        <v>2136</v>
      </c>
      <c r="F590" t="s" s="1">
        <v>2387</v>
      </c>
      <c r="G590" t="s" s="1">
        <v>2387</v>
      </c>
      <c r="H590" t="s" s="1">
        <v>688</v>
      </c>
      <c r="I590" t="s" s="1">
        <v>2361</v>
      </c>
      <c r="J590" t="s" s="1">
        <v>2293</v>
      </c>
      <c r="K590" t="s" s="1">
        <v>511</v>
      </c>
      <c r="L590" t="s" s="1">
        <v>369</v>
      </c>
      <c r="M590" t="n" s="5">
        <v>72000.0</v>
      </c>
      <c r="N590" t="n" s="7">
        <v>44004.0</v>
      </c>
      <c r="O590" t="n" s="7">
        <v>44196.0</v>
      </c>
      <c r="P590" t="s" s="1">
        <v>3499</v>
      </c>
    </row>
    <row r="591" spans="1:16">
      <c r="A591" t="n" s="4">
        <v>586</v>
      </c>
      <c r="B591" s="2">
        <f>HYPERLINK("https://my.zakupki.prom.ua/remote/dispatcher/state_purchase_view/17711477", "UA-2020-07-07-004181-c")</f>
        <v/>
      </c>
      <c r="C591" t="s" s="2">
        <v>3245</v>
      </c>
      <c r="D591" s="2">
        <f>HYPERLINK("https://my.zakupki.prom.ua/remote/dispatcher/state_contracting_view/4751198", "UA-2020-07-07-004181-c-c1")</f>
        <v/>
      </c>
      <c r="E591" t="s" s="1">
        <v>1947</v>
      </c>
      <c r="F591" t="s" s="1">
        <v>3022</v>
      </c>
      <c r="G591" t="s" s="1">
        <v>3022</v>
      </c>
      <c r="H591" t="s" s="1">
        <v>861</v>
      </c>
      <c r="I591" t="s" s="1">
        <v>2361</v>
      </c>
      <c r="J591" t="s" s="1">
        <v>3461</v>
      </c>
      <c r="K591" t="s" s="1">
        <v>534</v>
      </c>
      <c r="L591" t="s" s="1">
        <v>528</v>
      </c>
      <c r="M591" t="n" s="5">
        <v>9800.0</v>
      </c>
      <c r="N591" t="n" s="7">
        <v>44018.0</v>
      </c>
      <c r="O591" t="n" s="7">
        <v>44196.0</v>
      </c>
      <c r="P591" t="s" s="1">
        <v>3499</v>
      </c>
    </row>
    <row r="592" spans="1:16">
      <c r="A592" t="n" s="4">
        <v>587</v>
      </c>
      <c r="B592" s="2">
        <f>HYPERLINK("https://my.zakupki.prom.ua/remote/dispatcher/state_purchase_view/17593933", "UA-2020-07-01-008963-a")</f>
        <v/>
      </c>
      <c r="C592" t="s" s="2">
        <v>3245</v>
      </c>
      <c r="D592" s="2">
        <f>HYPERLINK("https://my.zakupki.prom.ua/remote/dispatcher/state_contracting_view/4697046", "UA-2020-07-01-008963-a-a1")</f>
        <v/>
      </c>
      <c r="E592" t="s" s="1">
        <v>1296</v>
      </c>
      <c r="F592" t="s" s="1">
        <v>2483</v>
      </c>
      <c r="G592" t="s" s="1">
        <v>2483</v>
      </c>
      <c r="H592" t="s" s="1">
        <v>978</v>
      </c>
      <c r="I592" t="s" s="1">
        <v>2361</v>
      </c>
      <c r="J592" t="s" s="1">
        <v>3417</v>
      </c>
      <c r="K592" t="s" s="1">
        <v>950</v>
      </c>
      <c r="L592" t="s" s="1">
        <v>3183</v>
      </c>
      <c r="M592" t="n" s="5">
        <v>2775.0</v>
      </c>
      <c r="N592" t="n" s="7">
        <v>44012.0</v>
      </c>
      <c r="O592" t="n" s="7">
        <v>44196.0</v>
      </c>
      <c r="P592" t="s" s="1">
        <v>3499</v>
      </c>
    </row>
    <row r="593" spans="1:16">
      <c r="A593" t="n" s="4">
        <v>588</v>
      </c>
      <c r="B593" s="2">
        <f>HYPERLINK("https://my.zakupki.prom.ua/remote/dispatcher/state_purchase_view/17849583", "UA-2020-07-14-001428-c")</f>
        <v/>
      </c>
      <c r="C593" t="s" s="2">
        <v>3245</v>
      </c>
      <c r="D593" s="2">
        <f>HYPERLINK("https://my.zakupki.prom.ua/remote/dispatcher/state_contracting_view/4815554", "UA-2020-07-14-001428-c-c1")</f>
        <v/>
      </c>
      <c r="E593" t="s" s="1">
        <v>871</v>
      </c>
      <c r="F593" t="s" s="1">
        <v>2493</v>
      </c>
      <c r="G593" t="s" s="1">
        <v>2493</v>
      </c>
      <c r="H593" t="s" s="1">
        <v>402</v>
      </c>
      <c r="I593" t="s" s="1">
        <v>2361</v>
      </c>
      <c r="J593" t="s" s="1">
        <v>3377</v>
      </c>
      <c r="K593" t="s" s="1">
        <v>722</v>
      </c>
      <c r="L593" t="s" s="1">
        <v>232</v>
      </c>
      <c r="M593" t="n" s="5">
        <v>300.0</v>
      </c>
      <c r="N593" t="n" s="7">
        <v>44025.0</v>
      </c>
      <c r="O593" t="n" s="7">
        <v>44196.0</v>
      </c>
      <c r="P593" t="s" s="1">
        <v>3499</v>
      </c>
    </row>
    <row r="594" spans="1:16">
      <c r="A594" t="n" s="4">
        <v>589</v>
      </c>
      <c r="B594" s="2">
        <f>HYPERLINK("https://my.zakupki.prom.ua/remote/dispatcher/state_purchase_view/17764210", "UA-2020-07-09-003920-c")</f>
        <v/>
      </c>
      <c r="C594" t="s" s="2">
        <v>3245</v>
      </c>
      <c r="D594" s="2">
        <f>HYPERLINK("https://my.zakupki.prom.ua/remote/dispatcher/state_contracting_view/4775929", "UA-2020-07-09-003920-c-c1")</f>
        <v/>
      </c>
      <c r="E594" t="s" s="1">
        <v>2093</v>
      </c>
      <c r="F594" t="s" s="1">
        <v>2846</v>
      </c>
      <c r="G594" t="s" s="1">
        <v>2846</v>
      </c>
      <c r="H594" t="s" s="1">
        <v>709</v>
      </c>
      <c r="I594" t="s" s="1">
        <v>2361</v>
      </c>
      <c r="J594" t="s" s="1">
        <v>3218</v>
      </c>
      <c r="K594" t="s" s="1">
        <v>645</v>
      </c>
      <c r="L594" t="s" s="1">
        <v>555</v>
      </c>
      <c r="M594" t="n" s="5">
        <v>63750.0</v>
      </c>
      <c r="N594" t="n" s="7">
        <v>44021.0</v>
      </c>
      <c r="O594" t="n" s="7">
        <v>44196.0</v>
      </c>
      <c r="P594" t="s" s="1">
        <v>3499</v>
      </c>
    </row>
    <row r="595" spans="1:16">
      <c r="A595" t="n" s="4">
        <v>590</v>
      </c>
      <c r="B595" s="2">
        <f>HYPERLINK("https://my.zakupki.prom.ua/remote/dispatcher/state_purchase_view/17775683", "UA-2020-07-09-007062-c")</f>
        <v/>
      </c>
      <c r="C595" t="s" s="2">
        <v>3245</v>
      </c>
      <c r="D595" s="2">
        <f>HYPERLINK("https://my.zakupki.prom.ua/remote/dispatcher/state_contracting_view/4781294", "UA-2020-07-09-007062-c-c1")</f>
        <v/>
      </c>
      <c r="E595" t="s" s="1">
        <v>20</v>
      </c>
      <c r="F595" t="s" s="1">
        <v>2547</v>
      </c>
      <c r="G595" t="s" s="1">
        <v>2547</v>
      </c>
      <c r="H595" t="s" s="1">
        <v>209</v>
      </c>
      <c r="I595" t="s" s="1">
        <v>2361</v>
      </c>
      <c r="J595" t="s" s="1">
        <v>3467</v>
      </c>
      <c r="K595" t="s" s="1">
        <v>766</v>
      </c>
      <c r="L595" t="s" s="1">
        <v>610</v>
      </c>
      <c r="M595" t="n" s="5">
        <v>3995.0</v>
      </c>
      <c r="N595" t="n" s="7">
        <v>44019.0</v>
      </c>
      <c r="O595" t="n" s="7">
        <v>44196.0</v>
      </c>
      <c r="P595" t="s" s="1">
        <v>3499</v>
      </c>
    </row>
    <row r="596" spans="1:16">
      <c r="A596" t="n" s="4">
        <v>591</v>
      </c>
      <c r="B596" s="2">
        <f>HYPERLINK("https://my.zakupki.prom.ua/remote/dispatcher/state_purchase_view/21097008", "UA-2020-11-16-006421-c")</f>
        <v/>
      </c>
      <c r="C596" t="s" s="2">
        <v>3245</v>
      </c>
      <c r="D596" s="2">
        <f>HYPERLINK("https://my.zakupki.prom.ua/remote/dispatcher/state_contracting_view/6353032", "UA-2020-11-16-006421-c-c1")</f>
        <v/>
      </c>
      <c r="E596" t="s" s="1">
        <v>1993</v>
      </c>
      <c r="F596" t="s" s="1">
        <v>3156</v>
      </c>
      <c r="G596" t="s" s="1">
        <v>3156</v>
      </c>
      <c r="H596" t="s" s="1">
        <v>392</v>
      </c>
      <c r="I596" t="s" s="1">
        <v>2361</v>
      </c>
      <c r="J596" t="s" s="1">
        <v>3400</v>
      </c>
      <c r="K596" t="s" s="1">
        <v>716</v>
      </c>
      <c r="L596" t="s" s="1">
        <v>3347</v>
      </c>
      <c r="M596" t="n" s="5">
        <v>13464.0</v>
      </c>
      <c r="N596" t="n" s="7">
        <v>44151.0</v>
      </c>
      <c r="O596" t="n" s="7">
        <v>44196.0</v>
      </c>
      <c r="P596" t="s" s="1">
        <v>3499</v>
      </c>
    </row>
    <row r="597" spans="1:16">
      <c r="A597" t="n" s="4">
        <v>592</v>
      </c>
      <c r="B597" s="2">
        <f>HYPERLINK("https://my.zakupki.prom.ua/remote/dispatcher/state_purchase_view/21116491", "UA-2020-11-16-013197-c")</f>
        <v/>
      </c>
      <c r="C597" t="s" s="2">
        <v>3245</v>
      </c>
      <c r="D597" s="2">
        <f>HYPERLINK("https://my.zakupki.prom.ua/remote/dispatcher/state_contracting_view/6362210", "UA-2020-11-16-013197-c-c1")</f>
        <v/>
      </c>
      <c r="E597" t="s" s="1">
        <v>2255</v>
      </c>
      <c r="F597" t="s" s="1">
        <v>2810</v>
      </c>
      <c r="G597" t="s" s="1">
        <v>2811</v>
      </c>
      <c r="H597" t="s" s="1">
        <v>690</v>
      </c>
      <c r="I597" t="s" s="1">
        <v>2361</v>
      </c>
      <c r="J597" t="s" s="1">
        <v>3403</v>
      </c>
      <c r="K597" t="s" s="1">
        <v>771</v>
      </c>
      <c r="L597" t="s" s="1">
        <v>1710</v>
      </c>
      <c r="M597" t="n" s="5">
        <v>103128.0</v>
      </c>
      <c r="N597" t="n" s="7">
        <v>44151.0</v>
      </c>
      <c r="O597" t="n" s="7">
        <v>44196.0</v>
      </c>
      <c r="P597" t="s" s="1">
        <v>3499</v>
      </c>
    </row>
    <row r="598" spans="1:16">
      <c r="A598" t="n" s="4">
        <v>593</v>
      </c>
      <c r="B598" s="2">
        <f>HYPERLINK("https://my.zakupki.prom.ua/remote/dispatcher/state_purchase_view/21699181", "UA-2020-12-03-004472-b")</f>
        <v/>
      </c>
      <c r="C598" t="s" s="2">
        <v>3245</v>
      </c>
      <c r="D598" s="2">
        <f>HYPERLINK("https://my.zakupki.prom.ua/remote/dispatcher/state_contracting_view/6633415", "UA-2020-12-03-004472-b-b1")</f>
        <v/>
      </c>
      <c r="E598" t="s" s="1">
        <v>88</v>
      </c>
      <c r="F598" t="s" s="1">
        <v>2511</v>
      </c>
      <c r="G598" t="s" s="1">
        <v>2511</v>
      </c>
      <c r="H598" t="s" s="1">
        <v>39</v>
      </c>
      <c r="I598" t="s" s="1">
        <v>2361</v>
      </c>
      <c r="J598" t="s" s="1">
        <v>3467</v>
      </c>
      <c r="K598" t="s" s="1">
        <v>766</v>
      </c>
      <c r="L598" t="s" s="1">
        <v>1823</v>
      </c>
      <c r="M598" t="n" s="5">
        <v>48602.5</v>
      </c>
      <c r="N598" t="n" s="7">
        <v>44166.0</v>
      </c>
      <c r="O598" t="n" s="7">
        <v>44196.0</v>
      </c>
      <c r="P598" t="s" s="1">
        <v>3499</v>
      </c>
    </row>
    <row r="599" spans="1:16">
      <c r="A599" t="n" s="4">
        <v>594</v>
      </c>
      <c r="B599" s="2">
        <f>HYPERLINK("https://my.zakupki.prom.ua/remote/dispatcher/state_purchase_view/19899201", "UA-2020-10-07-004800-a")</f>
        <v/>
      </c>
      <c r="C599" t="s" s="2">
        <v>3245</v>
      </c>
      <c r="D599" s="2">
        <f>HYPERLINK("https://my.zakupki.prom.ua/remote/dispatcher/state_contracting_view/5780452", "UA-2020-10-07-004800-a-a1")</f>
        <v/>
      </c>
      <c r="E599" t="s" s="1">
        <v>986</v>
      </c>
      <c r="F599" t="s" s="1">
        <v>2983</v>
      </c>
      <c r="G599" t="s" s="1">
        <v>2983</v>
      </c>
      <c r="H599" t="s" s="1">
        <v>844</v>
      </c>
      <c r="I599" t="s" s="1">
        <v>2361</v>
      </c>
      <c r="J599" t="s" s="1">
        <v>2291</v>
      </c>
      <c r="K599" t="s" s="1">
        <v>524</v>
      </c>
      <c r="L599" t="s" s="1">
        <v>128</v>
      </c>
      <c r="M599" t="n" s="5">
        <v>2500.0</v>
      </c>
      <c r="N599" t="n" s="7">
        <v>44111.0</v>
      </c>
      <c r="O599" t="n" s="7">
        <v>44196.0</v>
      </c>
      <c r="P599" t="s" s="1">
        <v>3499</v>
      </c>
    </row>
    <row r="600" spans="1:16">
      <c r="A600" t="n" s="4">
        <v>595</v>
      </c>
      <c r="B600" s="2">
        <f>HYPERLINK("https://my.zakupki.prom.ua/remote/dispatcher/state_purchase_view/20016901", "UA-2020-10-12-001969-b")</f>
        <v/>
      </c>
      <c r="C600" t="s" s="2">
        <v>3245</v>
      </c>
      <c r="D600" s="2">
        <f>HYPERLINK("https://my.zakupki.prom.ua/remote/dispatcher/state_contracting_view/5835374", "UA-2020-10-12-001969-b-b1")</f>
        <v/>
      </c>
      <c r="E600" t="s" s="1">
        <v>1282</v>
      </c>
      <c r="F600" t="s" s="1">
        <v>2551</v>
      </c>
      <c r="G600" t="s" s="1">
        <v>2551</v>
      </c>
      <c r="H600" t="s" s="1">
        <v>213</v>
      </c>
      <c r="I600" t="s" s="1">
        <v>2361</v>
      </c>
      <c r="J600" t="s" s="1">
        <v>3467</v>
      </c>
      <c r="K600" t="s" s="1">
        <v>766</v>
      </c>
      <c r="L600" t="s" s="1">
        <v>1500</v>
      </c>
      <c r="M600" t="n" s="5">
        <v>265.0</v>
      </c>
      <c r="N600" t="n" s="7">
        <v>44113.0</v>
      </c>
      <c r="O600" t="n" s="7">
        <v>44196.0</v>
      </c>
      <c r="P600" t="s" s="1">
        <v>3499</v>
      </c>
    </row>
    <row r="601" spans="1:16">
      <c r="A601" t="n" s="4">
        <v>596</v>
      </c>
      <c r="B601" s="2">
        <f>HYPERLINK("https://my.zakupki.prom.ua/remote/dispatcher/state_purchase_view/15195593", "UA-2020-02-10-002318-b")</f>
        <v/>
      </c>
      <c r="C601" t="s" s="2">
        <v>3245</v>
      </c>
      <c r="D601" s="2">
        <f>HYPERLINK("https://my.zakupki.prom.ua/remote/dispatcher/state_contracting_view/3776038", "UA-2020-02-10-002318-b-b1")</f>
        <v/>
      </c>
      <c r="E601" t="s" s="1">
        <v>1288</v>
      </c>
      <c r="F601" t="s" s="1">
        <v>387</v>
      </c>
      <c r="G601" t="s" s="1">
        <v>387</v>
      </c>
      <c r="H601" t="s" s="1">
        <v>386</v>
      </c>
      <c r="I601" t="s" s="1">
        <v>2361</v>
      </c>
      <c r="J601" t="s" s="1">
        <v>2312</v>
      </c>
      <c r="K601" t="s" s="1">
        <v>346</v>
      </c>
      <c r="L601" t="s" s="1">
        <v>521</v>
      </c>
      <c r="M601" t="n" s="5">
        <v>3850.0</v>
      </c>
      <c r="N601" t="n" s="7">
        <v>43871.0</v>
      </c>
      <c r="O601" t="n" s="7">
        <v>44196.0</v>
      </c>
      <c r="P601" t="s" s="1">
        <v>3499</v>
      </c>
    </row>
    <row r="602" spans="1:16">
      <c r="A602" t="n" s="4">
        <v>597</v>
      </c>
      <c r="B602" s="2">
        <f>HYPERLINK("https://my.zakupki.prom.ua/remote/dispatcher/state_purchase_view/14886432", "UA-2020-01-28-000891-b")</f>
        <v/>
      </c>
      <c r="C602" t="s" s="2">
        <v>3245</v>
      </c>
      <c r="D602" s="2">
        <f>HYPERLINK("https://my.zakupki.prom.ua/remote/dispatcher/state_contracting_view/3702385", "UA-2020-01-28-000891-b-b1")</f>
        <v/>
      </c>
      <c r="E602" t="s" s="1">
        <v>1168</v>
      </c>
      <c r="F602" t="s" s="1">
        <v>1154</v>
      </c>
      <c r="G602" t="s" s="1">
        <v>1154</v>
      </c>
      <c r="H602" t="s" s="1">
        <v>1154</v>
      </c>
      <c r="I602" t="s" s="1">
        <v>2361</v>
      </c>
      <c r="J602" t="s" s="1">
        <v>3301</v>
      </c>
      <c r="K602" t="s" s="1">
        <v>708</v>
      </c>
      <c r="L602" t="s" s="1">
        <v>1222</v>
      </c>
      <c r="M602" t="n" s="5">
        <v>6000.0</v>
      </c>
      <c r="N602" t="n" s="7">
        <v>43858.0</v>
      </c>
      <c r="O602" t="n" s="7">
        <v>44196.0</v>
      </c>
      <c r="P602" t="s" s="1">
        <v>3499</v>
      </c>
    </row>
    <row r="603" spans="1:16">
      <c r="A603" t="n" s="4">
        <v>598</v>
      </c>
      <c r="B603" s="2">
        <f>HYPERLINK("https://my.zakupki.prom.ua/remote/dispatcher/state_purchase_view/14856892", "UA-2020-01-27-002769-a")</f>
        <v/>
      </c>
      <c r="C603" t="s" s="2">
        <v>3245</v>
      </c>
      <c r="D603" s="2">
        <f>HYPERLINK("https://my.zakupki.prom.ua/remote/dispatcher/state_contracting_view/3693830", "UA-2020-01-27-002769-a-a1")</f>
        <v/>
      </c>
      <c r="E603" t="s" s="1">
        <v>2047</v>
      </c>
      <c r="F603" t="s" s="1">
        <v>664</v>
      </c>
      <c r="G603" t="s" s="1">
        <v>3422</v>
      </c>
      <c r="H603" t="s" s="1">
        <v>664</v>
      </c>
      <c r="I603" t="s" s="1">
        <v>2361</v>
      </c>
      <c r="J603" t="s" s="1">
        <v>3217</v>
      </c>
      <c r="K603" t="s" s="1">
        <v>615</v>
      </c>
      <c r="L603" t="s" s="1">
        <v>102</v>
      </c>
      <c r="M603" t="n" s="5">
        <v>9000.0</v>
      </c>
      <c r="N603" t="n" s="7">
        <v>43857.0</v>
      </c>
      <c r="O603" t="n" s="7">
        <v>44196.0</v>
      </c>
      <c r="P603" t="s" s="1">
        <v>3499</v>
      </c>
    </row>
    <row r="604" spans="1:16">
      <c r="A604" t="n" s="4">
        <v>599</v>
      </c>
      <c r="B604" s="2">
        <f>HYPERLINK("https://my.zakupki.prom.ua/remote/dispatcher/state_purchase_view/15103699", "UA-2020-02-05-002483-b")</f>
        <v/>
      </c>
      <c r="C604" t="s" s="2">
        <v>3245</v>
      </c>
      <c r="D604" s="2">
        <f>HYPERLINK("https://my.zakupki.prom.ua/remote/dispatcher/state_contracting_view/3754077", "UA-2020-02-05-002483-b-b1")</f>
        <v/>
      </c>
      <c r="E604" t="s" s="1">
        <v>569</v>
      </c>
      <c r="F604" t="s" s="1">
        <v>1365</v>
      </c>
      <c r="G604" t="s" s="1">
        <v>1366</v>
      </c>
      <c r="H604" t="s" s="1">
        <v>1365</v>
      </c>
      <c r="I604" t="s" s="1">
        <v>2361</v>
      </c>
      <c r="J604" t="s" s="1">
        <v>3304</v>
      </c>
      <c r="K604" t="s" s="1">
        <v>373</v>
      </c>
      <c r="L604" t="s" s="1">
        <v>1606</v>
      </c>
      <c r="M604" t="n" s="5">
        <v>2255.83</v>
      </c>
      <c r="N604" t="n" s="7">
        <v>43866.0</v>
      </c>
      <c r="O604" t="n" s="7">
        <v>44196.0</v>
      </c>
      <c r="P604" t="s" s="1">
        <v>3499</v>
      </c>
    </row>
    <row r="605" spans="1:16">
      <c r="A605" t="n" s="4">
        <v>600</v>
      </c>
      <c r="B605" s="2">
        <f>HYPERLINK("https://my.zakupki.prom.ua/remote/dispatcher/state_purchase_view/15707497", "UA-2020-03-11-003931-b")</f>
        <v/>
      </c>
      <c r="C605" t="s" s="2">
        <v>3245</v>
      </c>
      <c r="D605" s="2">
        <f>HYPERLINK("https://my.zakupki.prom.ua/remote/dispatcher/state_contracting_view/3921137", "UA-2020-03-11-003931-b-b1")</f>
        <v/>
      </c>
      <c r="E605" t="s" s="1">
        <v>1646</v>
      </c>
      <c r="F605" t="s" s="1">
        <v>5</v>
      </c>
      <c r="G605" t="s" s="1">
        <v>5</v>
      </c>
      <c r="H605" t="s" s="1">
        <v>707</v>
      </c>
      <c r="I605" t="s" s="1">
        <v>2361</v>
      </c>
      <c r="J605" t="s" s="1">
        <v>3438</v>
      </c>
      <c r="K605" t="s" s="1">
        <v>713</v>
      </c>
      <c r="L605" t="s" s="1">
        <v>1748</v>
      </c>
      <c r="M605" t="n" s="5">
        <v>10650.0</v>
      </c>
      <c r="N605" t="n" s="7">
        <v>43901.0</v>
      </c>
      <c r="O605" t="n" s="7">
        <v>44196.0</v>
      </c>
      <c r="P605" t="s" s="1">
        <v>3499</v>
      </c>
    </row>
    <row r="606" spans="1:16">
      <c r="A606" t="n" s="4">
        <v>601</v>
      </c>
      <c r="B606" s="2">
        <f>HYPERLINK("https://my.zakupki.prom.ua/remote/dispatcher/state_purchase_view/15679612", "UA-2020-03-10-002213-a")</f>
        <v/>
      </c>
      <c r="C606" t="s" s="2">
        <v>3245</v>
      </c>
      <c r="D606" s="2">
        <f>HYPERLINK("https://my.zakupki.prom.ua/remote/dispatcher/state_contracting_view/3912851", "UA-2020-03-10-002213-a-a1")</f>
        <v/>
      </c>
      <c r="E606" t="s" s="1">
        <v>1893</v>
      </c>
      <c r="F606" t="s" s="1">
        <v>2345</v>
      </c>
      <c r="G606" t="s" s="1">
        <v>2345</v>
      </c>
      <c r="H606" t="s" s="1">
        <v>1011</v>
      </c>
      <c r="I606" t="s" s="1">
        <v>2361</v>
      </c>
      <c r="J606" t="s" s="1">
        <v>3420</v>
      </c>
      <c r="K606" t="s" s="1">
        <v>535</v>
      </c>
      <c r="L606" t="s" s="1">
        <v>1186</v>
      </c>
      <c r="M606" t="n" s="5">
        <v>11145.0</v>
      </c>
      <c r="N606" t="n" s="7">
        <v>43900.0</v>
      </c>
      <c r="O606" t="n" s="7">
        <v>44196.0</v>
      </c>
      <c r="P606" t="s" s="1">
        <v>3499</v>
      </c>
    </row>
    <row r="607" spans="1:16">
      <c r="A607" t="n" s="4">
        <v>602</v>
      </c>
      <c r="B607" s="2">
        <f>HYPERLINK("https://my.zakupki.prom.ua/remote/dispatcher/state_purchase_view/15695209", "UA-2020-03-11-001409-b")</f>
        <v/>
      </c>
      <c r="C607" t="s" s="2">
        <v>3245</v>
      </c>
      <c r="D607" s="2">
        <f>HYPERLINK("https://my.zakupki.prom.ua/remote/dispatcher/state_contracting_view/3917650", "UA-2020-03-11-001409-b-b1")</f>
        <v/>
      </c>
      <c r="E607" t="s" s="1">
        <v>1956</v>
      </c>
      <c r="F607" t="s" s="1">
        <v>2346</v>
      </c>
      <c r="G607" t="s" s="1">
        <v>2346</v>
      </c>
      <c r="H607" t="s" s="1">
        <v>445</v>
      </c>
      <c r="I607" t="s" s="1">
        <v>2361</v>
      </c>
      <c r="J607" t="s" s="1">
        <v>3417</v>
      </c>
      <c r="K607" t="s" s="1">
        <v>950</v>
      </c>
      <c r="L607" t="s" s="1">
        <v>3205</v>
      </c>
      <c r="M607" t="n" s="5">
        <v>1404.0</v>
      </c>
      <c r="N607" t="n" s="7">
        <v>43901.0</v>
      </c>
      <c r="O607" t="n" s="7">
        <v>44196.0</v>
      </c>
      <c r="P607" t="s" s="1">
        <v>3499</v>
      </c>
    </row>
    <row r="608" spans="1:16">
      <c r="A608" t="n" s="4">
        <v>603</v>
      </c>
      <c r="B608" s="2">
        <f>HYPERLINK("https://my.zakupki.prom.ua/remote/dispatcher/state_purchase_view/15729712", "UA-2020-03-12-002479-b")</f>
        <v/>
      </c>
      <c r="C608" t="s" s="2">
        <v>3245</v>
      </c>
      <c r="D608" s="2">
        <f>HYPERLINK("https://my.zakupki.prom.ua/remote/dispatcher/state_contracting_view/3924093", "UA-2020-03-12-002479-b-b1")</f>
        <v/>
      </c>
      <c r="E608" t="s" s="1">
        <v>492</v>
      </c>
      <c r="F608" t="s" s="1">
        <v>6</v>
      </c>
      <c r="G608" t="s" s="1">
        <v>6</v>
      </c>
      <c r="H608" t="s" s="1">
        <v>205</v>
      </c>
      <c r="I608" t="s" s="1">
        <v>2361</v>
      </c>
      <c r="J608" t="s" s="1">
        <v>3464</v>
      </c>
      <c r="K608" t="s" s="1">
        <v>351</v>
      </c>
      <c r="L608" t="s" s="1">
        <v>916</v>
      </c>
      <c r="M608" t="n" s="5">
        <v>11700.0</v>
      </c>
      <c r="N608" t="n" s="7">
        <v>43902.0</v>
      </c>
      <c r="O608" t="n" s="7">
        <v>44196.0</v>
      </c>
      <c r="P608" t="s" s="1">
        <v>3499</v>
      </c>
    </row>
    <row r="609" spans="1:16">
      <c r="A609" t="n" s="4">
        <v>604</v>
      </c>
      <c r="B609" s="2">
        <f>HYPERLINK("https://my.zakupki.prom.ua/remote/dispatcher/state_purchase_view/16275392", "UA-2020-04-14-004602-b")</f>
        <v/>
      </c>
      <c r="C609" t="s" s="2">
        <v>3245</v>
      </c>
      <c r="D609" s="2">
        <f>HYPERLINK("https://my.zakupki.prom.ua/remote/dispatcher/state_contracting_view/4111055", "UA-2020-04-14-004602-b-b1")</f>
        <v/>
      </c>
      <c r="E609" t="s" s="1">
        <v>29</v>
      </c>
      <c r="F609" t="s" s="1">
        <v>2300</v>
      </c>
      <c r="G609" t="s" s="1">
        <v>2300</v>
      </c>
      <c r="H609" t="s" s="1">
        <v>1003</v>
      </c>
      <c r="I609" t="s" s="1">
        <v>2361</v>
      </c>
      <c r="J609" t="s" s="1">
        <v>2376</v>
      </c>
      <c r="K609" t="s" s="1">
        <v>498</v>
      </c>
      <c r="L609" t="s" s="1">
        <v>145</v>
      </c>
      <c r="M609" t="n" s="5">
        <v>20934.0</v>
      </c>
      <c r="N609" t="n" s="7">
        <v>43935.0</v>
      </c>
      <c r="O609" t="n" s="7">
        <v>44196.0</v>
      </c>
      <c r="P609" t="s" s="1">
        <v>3499</v>
      </c>
    </row>
    <row r="610" spans="1:16">
      <c r="A610" t="n" s="4">
        <v>605</v>
      </c>
      <c r="B610" s="2">
        <f>HYPERLINK("https://my.zakupki.prom.ua/remote/dispatcher/state_purchase_view/15893756", "UA-2020-03-20-004871-b")</f>
        <v/>
      </c>
      <c r="C610" t="s" s="2">
        <v>3245</v>
      </c>
      <c r="D610" s="2">
        <f>HYPERLINK("https://my.zakupki.prom.ua/remote/dispatcher/state_contracting_view/3979146", "UA-2020-03-20-004871-b-b1")</f>
        <v/>
      </c>
      <c r="E610" t="s" s="1">
        <v>1260</v>
      </c>
      <c r="F610" t="s" s="1">
        <v>718</v>
      </c>
      <c r="G610" t="s" s="1">
        <v>718</v>
      </c>
      <c r="H610" t="s" s="1">
        <v>718</v>
      </c>
      <c r="I610" t="s" s="1">
        <v>2361</v>
      </c>
      <c r="J610" t="s" s="1">
        <v>3376</v>
      </c>
      <c r="K610" t="s" s="1">
        <v>846</v>
      </c>
      <c r="L610" t="s" s="1">
        <v>1678</v>
      </c>
      <c r="M610" t="n" s="5">
        <v>10000.0</v>
      </c>
      <c r="N610" t="n" s="7">
        <v>43910.0</v>
      </c>
      <c r="O610" t="n" s="7">
        <v>44196.0</v>
      </c>
      <c r="P610" t="s" s="1">
        <v>3499</v>
      </c>
    </row>
    <row r="611" spans="1:16">
      <c r="A611" t="n" s="4">
        <v>606</v>
      </c>
      <c r="B611" s="2">
        <f>HYPERLINK("https://my.zakupki.prom.ua/remote/dispatcher/state_purchase_view/19508328", "UA-2020-09-23-000399-b")</f>
        <v/>
      </c>
      <c r="C611" t="s" s="2">
        <v>3245</v>
      </c>
      <c r="D611" s="2">
        <f>HYPERLINK("https://my.zakupki.prom.ua/remote/dispatcher/state_contracting_view/5596531", "UA-2020-09-23-000399-b-b1")</f>
        <v/>
      </c>
      <c r="E611" t="s" s="1">
        <v>2270</v>
      </c>
      <c r="F611" t="s" s="1">
        <v>2547</v>
      </c>
      <c r="G611" t="s" s="1">
        <v>2547</v>
      </c>
      <c r="H611" t="s" s="1">
        <v>209</v>
      </c>
      <c r="I611" t="s" s="1">
        <v>2361</v>
      </c>
      <c r="J611" t="s" s="1">
        <v>3467</v>
      </c>
      <c r="K611" t="s" s="1">
        <v>766</v>
      </c>
      <c r="L611" t="s" s="1">
        <v>1371</v>
      </c>
      <c r="M611" t="n" s="5">
        <v>3950.0</v>
      </c>
      <c r="N611" t="n" s="7">
        <v>44095.0</v>
      </c>
      <c r="O611" t="n" s="7">
        <v>44196.0</v>
      </c>
      <c r="P611" t="s" s="1">
        <v>3499</v>
      </c>
    </row>
    <row r="612" spans="1:16">
      <c r="A612" t="n" s="4">
        <v>607</v>
      </c>
      <c r="B612" s="2">
        <f>HYPERLINK("https://my.zakupki.prom.ua/remote/dispatcher/state_purchase_view/19870824", "UA-2020-10-06-008424-a")</f>
        <v/>
      </c>
      <c r="C612" t="s" s="2">
        <v>3245</v>
      </c>
      <c r="D612" s="2">
        <f>HYPERLINK("https://my.zakupki.prom.ua/remote/dispatcher/state_contracting_view/5767891", "UA-2020-10-06-008424-a-a1")</f>
        <v/>
      </c>
      <c r="E612" t="s" s="1">
        <v>1231</v>
      </c>
      <c r="F612" t="s" s="1">
        <v>3160</v>
      </c>
      <c r="G612" t="s" s="1">
        <v>3160</v>
      </c>
      <c r="H612" t="s" s="1">
        <v>1613</v>
      </c>
      <c r="I612" t="s" s="1">
        <v>2361</v>
      </c>
      <c r="J612" t="s" s="1">
        <v>3213</v>
      </c>
      <c r="K612" t="s" s="1">
        <v>27</v>
      </c>
      <c r="L612" t="s" s="1">
        <v>1314</v>
      </c>
      <c r="M612" t="n" s="5">
        <v>3900.0</v>
      </c>
      <c r="N612" t="n" s="7">
        <v>44110.0</v>
      </c>
      <c r="O612" t="n" s="7">
        <v>44196.0</v>
      </c>
      <c r="P612" t="s" s="1">
        <v>3499</v>
      </c>
    </row>
    <row r="613" spans="1:16">
      <c r="A613" t="n" s="4">
        <v>608</v>
      </c>
      <c r="B613" s="2">
        <f>HYPERLINK("https://my.zakupki.prom.ua/remote/dispatcher/state_purchase_view/19917200", "UA-2020-10-07-009771-a")</f>
        <v/>
      </c>
      <c r="C613" t="s" s="2">
        <v>3245</v>
      </c>
      <c r="D613" s="2">
        <f>HYPERLINK("https://my.zakupki.prom.ua/remote/dispatcher/state_contracting_view/5788566", "UA-2020-10-07-009771-a-a1")</f>
        <v/>
      </c>
      <c r="E613" t="s" s="1">
        <v>458</v>
      </c>
      <c r="F613" t="s" s="1">
        <v>2702</v>
      </c>
      <c r="G613" t="s" s="1">
        <v>2702</v>
      </c>
      <c r="H613" t="s" s="1">
        <v>603</v>
      </c>
      <c r="I613" t="s" s="1">
        <v>2361</v>
      </c>
      <c r="J613" t="s" s="1">
        <v>3384</v>
      </c>
      <c r="K613" t="s" s="1">
        <v>930</v>
      </c>
      <c r="L613" t="s" s="1">
        <v>115</v>
      </c>
      <c r="M613" t="n" s="5">
        <v>10580.0</v>
      </c>
      <c r="N613" t="n" s="7">
        <v>44109.0</v>
      </c>
      <c r="O613" t="n" s="7">
        <v>44196.0</v>
      </c>
      <c r="P613" t="s" s="1">
        <v>3499</v>
      </c>
    </row>
    <row r="614" spans="1:16">
      <c r="A614" t="n" s="4">
        <v>609</v>
      </c>
      <c r="B614" s="2">
        <f>HYPERLINK("https://my.zakupki.prom.ua/remote/dispatcher/state_purchase_view/20024285", "UA-2020-10-12-004052-b")</f>
        <v/>
      </c>
      <c r="C614" t="s" s="2">
        <v>3245</v>
      </c>
      <c r="D614" s="2">
        <f>HYPERLINK("https://my.zakupki.prom.ua/remote/dispatcher/state_contracting_view/5838723", "UA-2020-10-12-004052-b-b1")</f>
        <v/>
      </c>
      <c r="E614" t="s" s="1">
        <v>1778</v>
      </c>
      <c r="F614" t="s" s="1">
        <v>2863</v>
      </c>
      <c r="G614" t="s" s="1">
        <v>3476</v>
      </c>
      <c r="H614" t="s" s="1">
        <v>718</v>
      </c>
      <c r="I614" t="s" s="1">
        <v>2361</v>
      </c>
      <c r="J614" t="s" s="1">
        <v>3300</v>
      </c>
      <c r="K614" t="s" s="1">
        <v>593</v>
      </c>
      <c r="L614" t="s" s="1">
        <v>1508</v>
      </c>
      <c r="M614" t="n" s="5">
        <v>235724.78</v>
      </c>
      <c r="N614" t="n" s="7">
        <v>44116.0</v>
      </c>
      <c r="O614" t="n" s="7">
        <v>44196.0</v>
      </c>
      <c r="P614" t="s" s="1">
        <v>3499</v>
      </c>
    </row>
    <row r="615" spans="1:16">
      <c r="A615" t="n" s="4">
        <v>610</v>
      </c>
      <c r="B615" s="2">
        <f>HYPERLINK("https://my.zakupki.prom.ua/remote/dispatcher/state_purchase_view/19202468", "UA-2020-09-11-004424-b")</f>
        <v/>
      </c>
      <c r="C615" t="s" s="2">
        <v>3245</v>
      </c>
      <c r="D615" s="2">
        <f>HYPERLINK("https://my.zakupki.prom.ua/remote/dispatcher/state_contracting_view/5451677", "UA-2020-09-11-004424-b-b1")</f>
        <v/>
      </c>
      <c r="E615" t="s" s="1">
        <v>2065</v>
      </c>
      <c r="F615" t="s" s="1">
        <v>3063</v>
      </c>
      <c r="G615" t="s" s="1">
        <v>3063</v>
      </c>
      <c r="H615" t="s" s="1">
        <v>1016</v>
      </c>
      <c r="I615" t="s" s="1">
        <v>2361</v>
      </c>
      <c r="J615" t="s" s="1">
        <v>3251</v>
      </c>
      <c r="K615" t="s" s="1">
        <v>486</v>
      </c>
      <c r="L615" t="s" s="1">
        <v>1269</v>
      </c>
      <c r="M615" t="n" s="5">
        <v>9687.7</v>
      </c>
      <c r="N615" t="n" s="7">
        <v>44085.0</v>
      </c>
      <c r="O615" t="n" s="7">
        <v>44196.0</v>
      </c>
      <c r="P615" t="s" s="1">
        <v>3499</v>
      </c>
    </row>
    <row r="616" spans="1:16">
      <c r="A616" t="n" s="4">
        <v>611</v>
      </c>
      <c r="B616" s="2">
        <f>HYPERLINK("https://my.zakupki.prom.ua/remote/dispatcher/state_purchase_view/19213051", "UA-2020-09-11-008322-b")</f>
        <v/>
      </c>
      <c r="C616" t="s" s="2">
        <v>3245</v>
      </c>
      <c r="D616" s="2">
        <f>HYPERLINK("https://my.zakupki.prom.ua/remote/dispatcher/state_contracting_view/5456530", "UA-2020-09-11-008322-b-b1")</f>
        <v/>
      </c>
      <c r="E616" t="s" s="1">
        <v>45</v>
      </c>
      <c r="F616" t="s" s="1">
        <v>2710</v>
      </c>
      <c r="G616" t="s" s="1">
        <v>2710</v>
      </c>
      <c r="H616" t="s" s="1">
        <v>631</v>
      </c>
      <c r="I616" t="s" s="1">
        <v>2361</v>
      </c>
      <c r="J616" t="s" s="1">
        <v>3251</v>
      </c>
      <c r="K616" t="s" s="1">
        <v>486</v>
      </c>
      <c r="L616" t="s" s="1">
        <v>1274</v>
      </c>
      <c r="M616" t="n" s="5">
        <v>1223.8</v>
      </c>
      <c r="N616" t="n" s="7">
        <v>44085.0</v>
      </c>
      <c r="O616" t="n" s="7">
        <v>44196.0</v>
      </c>
      <c r="P616" t="s" s="1">
        <v>3499</v>
      </c>
    </row>
    <row r="617" spans="1:16">
      <c r="A617" t="n" s="4">
        <v>612</v>
      </c>
      <c r="B617" s="2">
        <f>HYPERLINK("https://my.zakupki.prom.ua/remote/dispatcher/state_purchase_view/19346782", "UA-2020-09-17-001579-a")</f>
        <v/>
      </c>
      <c r="C617" t="s" s="2">
        <v>3245</v>
      </c>
      <c r="D617" s="2">
        <f>HYPERLINK("https://my.zakupki.prom.ua/remote/dispatcher/state_contracting_view/5520670", "UA-2020-09-17-001579-a-a1")</f>
        <v/>
      </c>
      <c r="E617" t="s" s="1">
        <v>1728</v>
      </c>
      <c r="F617" t="s" s="1">
        <v>2567</v>
      </c>
      <c r="G617" t="s" s="1">
        <v>2567</v>
      </c>
      <c r="H617" t="s" s="1">
        <v>216</v>
      </c>
      <c r="I617" t="s" s="1">
        <v>2361</v>
      </c>
      <c r="J617" t="s" s="1">
        <v>3467</v>
      </c>
      <c r="K617" t="s" s="1">
        <v>766</v>
      </c>
      <c r="L617" t="s" s="1">
        <v>1326</v>
      </c>
      <c r="M617" t="n" s="5">
        <v>897.0</v>
      </c>
      <c r="N617" t="n" s="7">
        <v>44089.0</v>
      </c>
      <c r="O617" t="n" s="7">
        <v>44196.0</v>
      </c>
      <c r="P617" t="s" s="1">
        <v>3499</v>
      </c>
    </row>
    <row r="618" spans="1:16">
      <c r="A618" t="n" s="4">
        <v>613</v>
      </c>
      <c r="B618" s="2">
        <f>HYPERLINK("https://my.zakupki.prom.ua/remote/dispatcher/state_purchase_view/19101702", "UA-2020-09-08-007568-b")</f>
        <v/>
      </c>
      <c r="C618" t="s" s="2">
        <v>3245</v>
      </c>
      <c r="D618" s="2">
        <f>HYPERLINK("https://my.zakupki.prom.ua/remote/dispatcher/state_contracting_view/5404161", "UA-2020-09-08-007568-b-b1")</f>
        <v/>
      </c>
      <c r="E618" t="s" s="1">
        <v>2257</v>
      </c>
      <c r="F618" t="s" s="1">
        <v>2828</v>
      </c>
      <c r="G618" t="s" s="1">
        <v>2828</v>
      </c>
      <c r="H618" t="s" s="1">
        <v>703</v>
      </c>
      <c r="I618" t="s" s="1">
        <v>2361</v>
      </c>
      <c r="J618" t="s" s="1">
        <v>3462</v>
      </c>
      <c r="K618" t="s" s="1">
        <v>792</v>
      </c>
      <c r="L618" t="s" s="1">
        <v>1242</v>
      </c>
      <c r="M618" t="n" s="5">
        <v>148000.0</v>
      </c>
      <c r="N618" t="n" s="7">
        <v>44082.0</v>
      </c>
      <c r="O618" t="n" s="7">
        <v>44196.0</v>
      </c>
      <c r="P618" t="s" s="1">
        <v>3499</v>
      </c>
    </row>
    <row r="619" spans="1:16">
      <c r="A619" t="n" s="4">
        <v>614</v>
      </c>
      <c r="B619" s="2">
        <f>HYPERLINK("https://my.zakupki.prom.ua/remote/dispatcher/state_purchase_view/18997336", "UA-2020-09-03-009174-b")</f>
        <v/>
      </c>
      <c r="C619" t="s" s="2">
        <v>3245</v>
      </c>
      <c r="D619" s="2">
        <f>HYPERLINK("https://my.zakupki.prom.ua/remote/dispatcher/state_contracting_view/5354911", "UA-2020-09-03-009174-b-b1")</f>
        <v/>
      </c>
      <c r="E619" t="s" s="1">
        <v>1465</v>
      </c>
      <c r="F619" t="s" s="1">
        <v>2840</v>
      </c>
      <c r="G619" t="s" s="1">
        <v>2840</v>
      </c>
      <c r="H619" t="s" s="1">
        <v>703</v>
      </c>
      <c r="I619" t="s" s="1">
        <v>2361</v>
      </c>
      <c r="J619" t="s" s="1">
        <v>3440</v>
      </c>
      <c r="K619" t="s" s="1">
        <v>644</v>
      </c>
      <c r="L619" t="s" s="1">
        <v>2303</v>
      </c>
      <c r="M619" t="n" s="5">
        <v>14200.0</v>
      </c>
      <c r="N619" t="n" s="7">
        <v>44077.0</v>
      </c>
      <c r="O619" t="n" s="7">
        <v>44196.0</v>
      </c>
      <c r="P619" t="s" s="1">
        <v>3499</v>
      </c>
    </row>
    <row r="620" spans="1:16">
      <c r="A620" t="n" s="4">
        <v>615</v>
      </c>
      <c r="B620" s="2">
        <f>HYPERLINK("https://my.zakupki.prom.ua/remote/dispatcher/state_purchase_view/19324336", "UA-2020-09-16-006234-a")</f>
        <v/>
      </c>
      <c r="C620" t="s" s="2">
        <v>3245</v>
      </c>
      <c r="D620" s="2">
        <f>HYPERLINK("https://my.zakupki.prom.ua/remote/dispatcher/state_contracting_view/5509800", "UA-2020-09-16-006234-a-a1")</f>
        <v/>
      </c>
      <c r="E620" t="s" s="1">
        <v>1157</v>
      </c>
      <c r="F620" t="s" s="1">
        <v>3090</v>
      </c>
      <c r="G620" t="s" s="1">
        <v>3090</v>
      </c>
      <c r="H620" t="s" s="1">
        <v>1046</v>
      </c>
      <c r="I620" t="s" s="1">
        <v>2361</v>
      </c>
      <c r="J620" t="s" s="1">
        <v>3251</v>
      </c>
      <c r="K620" t="s" s="1">
        <v>486</v>
      </c>
      <c r="L620" t="s" s="1">
        <v>1343</v>
      </c>
      <c r="M620" t="n" s="5">
        <v>32652.0</v>
      </c>
      <c r="N620" t="n" s="7">
        <v>44090.0</v>
      </c>
      <c r="O620" t="n" s="7">
        <v>44196.0</v>
      </c>
      <c r="P620" t="s" s="1">
        <v>3499</v>
      </c>
    </row>
    <row r="621" spans="1:16">
      <c r="A621" t="n" s="4">
        <v>616</v>
      </c>
      <c r="B621" s="2">
        <f>HYPERLINK("https://my.zakupki.prom.ua/remote/dispatcher/state_purchase_view/16299463", "UA-2020-04-15-004759-b")</f>
        <v/>
      </c>
      <c r="C621" t="s" s="2">
        <v>3245</v>
      </c>
      <c r="D621" s="2">
        <f>HYPERLINK("https://my.zakupki.prom.ua/remote/dispatcher/state_contracting_view/4178257", "UA-2020-04-15-004759-b-b1")</f>
        <v/>
      </c>
      <c r="E621" t="s" s="1">
        <v>1080</v>
      </c>
      <c r="F621" t="s" s="1">
        <v>596</v>
      </c>
      <c r="G621" t="s" s="1">
        <v>596</v>
      </c>
      <c r="H621" t="s" s="1">
        <v>596</v>
      </c>
      <c r="I621" t="s" s="1">
        <v>2361</v>
      </c>
      <c r="J621" t="s" s="1">
        <v>2316</v>
      </c>
      <c r="K621" t="s" s="1">
        <v>768</v>
      </c>
      <c r="L621" t="s" s="1">
        <v>147</v>
      </c>
      <c r="M621" t="n" s="5">
        <v>1092.0</v>
      </c>
      <c r="N621" t="n" s="7">
        <v>43936.0</v>
      </c>
      <c r="O621" t="n" s="7">
        <v>44196.0</v>
      </c>
      <c r="P621" t="s" s="1">
        <v>3499</v>
      </c>
    </row>
    <row r="622" spans="1:16">
      <c r="A622" t="n" s="4">
        <v>617</v>
      </c>
      <c r="B622" s="2">
        <f>HYPERLINK("https://my.zakupki.prom.ua/remote/dispatcher/state_purchase_view/17222889", "UA-2020-06-12-010243-c")</f>
        <v/>
      </c>
      <c r="C622" t="s" s="2">
        <v>3245</v>
      </c>
      <c r="D622" s="2">
        <f>HYPERLINK("https://my.zakupki.prom.ua/remote/dispatcher/state_contracting_view/4525175", "UA-2020-06-12-010243-c-c1")</f>
        <v/>
      </c>
      <c r="E622" t="s" s="1">
        <v>1785</v>
      </c>
      <c r="F622" t="s" s="1">
        <v>2410</v>
      </c>
      <c r="G622" t="s" s="1">
        <v>2384</v>
      </c>
      <c r="H622" t="s" s="1">
        <v>690</v>
      </c>
      <c r="I622" t="s" s="1">
        <v>2361</v>
      </c>
      <c r="J622" t="s" s="1">
        <v>3392</v>
      </c>
      <c r="K622" t="s" s="1">
        <v>428</v>
      </c>
      <c r="L622" t="s" s="1">
        <v>282</v>
      </c>
      <c r="M622" t="n" s="5">
        <v>420.0</v>
      </c>
      <c r="N622" t="n" s="7">
        <v>43993.0</v>
      </c>
      <c r="O622" t="n" s="7">
        <v>44196.0</v>
      </c>
      <c r="P622" t="s" s="1">
        <v>3499</v>
      </c>
    </row>
    <row r="623" spans="1:16">
      <c r="A623" t="n" s="4">
        <v>618</v>
      </c>
      <c r="B623" s="2">
        <f>HYPERLINK("https://my.zakupki.prom.ua/remote/dispatcher/state_purchase_view/16747116", "UA-2020-05-19-004690-c")</f>
        <v/>
      </c>
      <c r="C623" t="s" s="2">
        <v>3245</v>
      </c>
      <c r="D623" s="2">
        <f>HYPERLINK("https://my.zakupki.prom.ua/remote/dispatcher/state_contracting_view/4483584", "UA-2020-05-19-004690-c-b1")</f>
        <v/>
      </c>
      <c r="E623" t="s" s="1">
        <v>2125</v>
      </c>
      <c r="F623" t="s" s="1">
        <v>2337</v>
      </c>
      <c r="G623" t="s" s="1">
        <v>3430</v>
      </c>
      <c r="H623" t="s" s="1">
        <v>964</v>
      </c>
      <c r="I623" t="s" s="1">
        <v>3353</v>
      </c>
      <c r="J623" t="s" s="1">
        <v>3306</v>
      </c>
      <c r="K623" t="s" s="1">
        <v>388</v>
      </c>
      <c r="L623" t="s" s="1">
        <v>275</v>
      </c>
      <c r="M623" t="n" s="5">
        <v>192998.0</v>
      </c>
      <c r="N623" t="n" s="7">
        <v>43992.0</v>
      </c>
      <c r="O623" t="n" s="7">
        <v>44196.0</v>
      </c>
      <c r="P623" t="s" s="1">
        <v>3499</v>
      </c>
    </row>
    <row r="624" spans="1:16">
      <c r="A624" t="n" s="4">
        <v>619</v>
      </c>
      <c r="B624" s="2">
        <f>HYPERLINK("https://my.zakupki.prom.ua/remote/dispatcher/state_purchase_view/17011459", "UA-2020-06-03-001478-b")</f>
        <v/>
      </c>
      <c r="C624" t="s" s="2">
        <v>3245</v>
      </c>
      <c r="D624" s="2">
        <f>HYPERLINK("https://my.zakupki.prom.ua/remote/dispatcher/state_contracting_view/4427545", "UA-2020-06-03-001478-b-b1")</f>
        <v/>
      </c>
      <c r="E624" t="s" s="1">
        <v>59</v>
      </c>
      <c r="F624" t="s" s="1">
        <v>2436</v>
      </c>
      <c r="G624" t="s" s="1">
        <v>2436</v>
      </c>
      <c r="H624" t="s" s="1">
        <v>690</v>
      </c>
      <c r="I624" t="s" s="1">
        <v>2361</v>
      </c>
      <c r="J624" t="s" s="1">
        <v>3402</v>
      </c>
      <c r="K624" t="s" s="1">
        <v>375</v>
      </c>
      <c r="L624" t="s" s="1">
        <v>350</v>
      </c>
      <c r="M624" t="n" s="5">
        <v>7572.0</v>
      </c>
      <c r="N624" t="n" s="7">
        <v>43983.0</v>
      </c>
      <c r="O624" t="n" s="7">
        <v>44196.0</v>
      </c>
      <c r="P624" t="s" s="1">
        <v>3499</v>
      </c>
    </row>
    <row r="625" spans="1:16">
      <c r="A625" t="n" s="4">
        <v>620</v>
      </c>
      <c r="B625" s="2">
        <f>HYPERLINK("https://my.zakupki.prom.ua/remote/dispatcher/state_purchase_view/17488577", "UA-2020-06-24-011915-a")</f>
        <v/>
      </c>
      <c r="C625" t="s" s="2">
        <v>3245</v>
      </c>
      <c r="D625" s="2">
        <f>HYPERLINK("https://my.zakupki.prom.ua/remote/dispatcher/state_contracting_view/4647703", "UA-2020-06-24-011915-a-a1")</f>
        <v/>
      </c>
      <c r="E625" t="s" s="1">
        <v>1926</v>
      </c>
      <c r="F625" t="s" s="1">
        <v>2461</v>
      </c>
      <c r="G625" t="s" s="1">
        <v>3229</v>
      </c>
      <c r="H625" t="s" s="1">
        <v>718</v>
      </c>
      <c r="I625" t="s" s="1">
        <v>2361</v>
      </c>
      <c r="J625" t="s" s="1">
        <v>3392</v>
      </c>
      <c r="K625" t="s" s="1">
        <v>428</v>
      </c>
      <c r="L625" t="s" s="1">
        <v>377</v>
      </c>
      <c r="M625" t="n" s="5">
        <v>18650.24</v>
      </c>
      <c r="N625" t="n" s="7">
        <v>44005.0</v>
      </c>
      <c r="O625" t="n" s="7">
        <v>44196.0</v>
      </c>
      <c r="P625" t="s" s="1">
        <v>3499</v>
      </c>
    </row>
    <row r="626" spans="1:16">
      <c r="A626" t="n" s="4">
        <v>621</v>
      </c>
      <c r="B626" s="2">
        <f>HYPERLINK("https://my.zakupki.prom.ua/remote/dispatcher/state_purchase_view/17334103", "UA-2020-06-18-002887-c")</f>
        <v/>
      </c>
      <c r="C626" t="s" s="2">
        <v>3245</v>
      </c>
      <c r="D626" s="2">
        <f>HYPERLINK("https://my.zakupki.prom.ua/remote/dispatcher/state_contracting_view/4576244", "UA-2020-06-18-002887-c-c1")</f>
        <v/>
      </c>
      <c r="E626" t="s" s="1">
        <v>1110</v>
      </c>
      <c r="F626" t="s" s="1">
        <v>2442</v>
      </c>
      <c r="G626" t="s" s="1">
        <v>2442</v>
      </c>
      <c r="H626" t="s" s="1">
        <v>703</v>
      </c>
      <c r="I626" t="s" s="1">
        <v>2361</v>
      </c>
      <c r="J626" t="s" s="1">
        <v>3392</v>
      </c>
      <c r="K626" t="s" s="1">
        <v>428</v>
      </c>
      <c r="L626" t="s" s="1">
        <v>352</v>
      </c>
      <c r="M626" t="n" s="5">
        <v>2135.69</v>
      </c>
      <c r="N626" t="n" s="7">
        <v>43998.0</v>
      </c>
      <c r="O626" t="n" s="7">
        <v>44196.0</v>
      </c>
      <c r="P626" t="s" s="1">
        <v>3499</v>
      </c>
    </row>
    <row r="627" spans="1:16">
      <c r="A627" t="n" s="4">
        <v>622</v>
      </c>
      <c r="B627" s="2">
        <f>HYPERLINK("https://my.zakupki.prom.ua/remote/dispatcher/state_purchase_view/17314311", "UA-2020-06-17-006956-c")</f>
        <v/>
      </c>
      <c r="C627" t="s" s="2">
        <v>3245</v>
      </c>
      <c r="D627" s="2">
        <f>HYPERLINK("https://my.zakupki.prom.ua/remote/dispatcher/state_contracting_view/4566959", "UA-2020-06-17-006956-c-c1")</f>
        <v/>
      </c>
      <c r="E627" t="s" s="1">
        <v>2198</v>
      </c>
      <c r="F627" t="s" s="1">
        <v>2422</v>
      </c>
      <c r="G627" t="s" s="1">
        <v>2422</v>
      </c>
      <c r="H627" t="s" s="1">
        <v>863</v>
      </c>
      <c r="I627" t="s" s="1">
        <v>2361</v>
      </c>
      <c r="J627" t="s" s="1">
        <v>3420</v>
      </c>
      <c r="K627" t="s" s="1">
        <v>535</v>
      </c>
      <c r="L627" t="s" s="1">
        <v>305</v>
      </c>
      <c r="M627" t="n" s="5">
        <v>1371.0</v>
      </c>
      <c r="N627" t="n" s="7">
        <v>43999.0</v>
      </c>
      <c r="O627" t="n" s="7">
        <v>44196.0</v>
      </c>
      <c r="P627" t="s" s="1">
        <v>3499</v>
      </c>
    </row>
    <row r="628" spans="1:16">
      <c r="A628" t="n" s="4">
        <v>623</v>
      </c>
      <c r="B628" s="2">
        <f>HYPERLINK("https://my.zakupki.prom.ua/remote/dispatcher/state_purchase_view/18648582", "UA-2020-08-19-001990-a")</f>
        <v/>
      </c>
      <c r="C628" t="s" s="2">
        <v>3245</v>
      </c>
      <c r="D628" s="2">
        <f>HYPERLINK("https://my.zakupki.prom.ua/remote/dispatcher/state_contracting_view/5188561", "UA-2020-08-19-001990-a-a1")</f>
        <v/>
      </c>
      <c r="E628" t="s" s="1">
        <v>76</v>
      </c>
      <c r="F628" t="s" s="1">
        <v>2584</v>
      </c>
      <c r="G628" t="s" s="1">
        <v>2584</v>
      </c>
      <c r="H628" t="s" s="1">
        <v>219</v>
      </c>
      <c r="I628" t="s" s="1">
        <v>2361</v>
      </c>
      <c r="J628" t="s" s="1">
        <v>3467</v>
      </c>
      <c r="K628" t="s" s="1">
        <v>766</v>
      </c>
      <c r="L628" t="s" s="1">
        <v>1151</v>
      </c>
      <c r="M628" t="n" s="5">
        <v>11850.0</v>
      </c>
      <c r="N628" t="n" s="7">
        <v>44060.0</v>
      </c>
      <c r="O628" t="n" s="7">
        <v>44196.0</v>
      </c>
      <c r="P628" t="s" s="1">
        <v>3499</v>
      </c>
    </row>
    <row r="629" spans="1:16">
      <c r="A629" t="n" s="4">
        <v>624</v>
      </c>
      <c r="B629" s="2">
        <f>HYPERLINK("https://my.zakupki.prom.ua/remote/dispatcher/state_purchase_view/17702039", "UA-2020-07-07-001631-c")</f>
        <v/>
      </c>
      <c r="C629" t="s" s="2">
        <v>3245</v>
      </c>
      <c r="D629" s="2">
        <f>HYPERLINK("https://my.zakupki.prom.ua/remote/dispatcher/state_contracting_view/4746740", "UA-2020-07-07-001631-c-c1")</f>
        <v/>
      </c>
      <c r="E629" t="s" s="1">
        <v>1987</v>
      </c>
      <c r="F629" t="s" s="1">
        <v>2841</v>
      </c>
      <c r="G629" t="s" s="1">
        <v>2841</v>
      </c>
      <c r="H629" t="s" s="1">
        <v>703</v>
      </c>
      <c r="I629" t="s" s="1">
        <v>2361</v>
      </c>
      <c r="J629" t="s" s="1">
        <v>3392</v>
      </c>
      <c r="K629" t="s" s="1">
        <v>428</v>
      </c>
      <c r="L629" t="s" s="1">
        <v>523</v>
      </c>
      <c r="M629" t="n" s="5">
        <v>16434.0</v>
      </c>
      <c r="N629" t="n" s="7">
        <v>44018.0</v>
      </c>
      <c r="O629" t="n" s="7">
        <v>44196.0</v>
      </c>
      <c r="P629" t="s" s="1">
        <v>3499</v>
      </c>
    </row>
    <row r="630" spans="1:16">
      <c r="A630" t="n" s="4">
        <v>625</v>
      </c>
      <c r="B630" s="2">
        <f>HYPERLINK("https://my.zakupki.prom.ua/remote/dispatcher/state_purchase_view/17850990", "UA-2020-07-14-001837-c")</f>
        <v/>
      </c>
      <c r="C630" t="s" s="2">
        <v>3245</v>
      </c>
      <c r="D630" s="2">
        <f>HYPERLINK("https://my.zakupki.prom.ua/remote/dispatcher/state_contracting_view/4816226", "UA-2020-07-14-001837-c-c1")</f>
        <v/>
      </c>
      <c r="E630" t="s" s="1">
        <v>1599</v>
      </c>
      <c r="F630" t="s" s="1">
        <v>2782</v>
      </c>
      <c r="G630" t="s" s="1">
        <v>3517</v>
      </c>
      <c r="H630" t="s" s="1">
        <v>690</v>
      </c>
      <c r="I630" t="s" s="1">
        <v>2361</v>
      </c>
      <c r="J630" t="s" s="1">
        <v>3377</v>
      </c>
      <c r="K630" t="s" s="1">
        <v>722</v>
      </c>
      <c r="L630" t="s" s="1">
        <v>238</v>
      </c>
      <c r="M630" t="n" s="5">
        <v>5500.0</v>
      </c>
      <c r="N630" t="n" s="7">
        <v>44025.0</v>
      </c>
      <c r="O630" t="n" s="7">
        <v>44196.0</v>
      </c>
      <c r="P630" t="s" s="1">
        <v>3499</v>
      </c>
    </row>
    <row r="631" spans="1:16">
      <c r="A631" t="n" s="4">
        <v>626</v>
      </c>
      <c r="B631" s="2">
        <f>HYPERLINK("https://my.zakupki.prom.ua/remote/dispatcher/state_purchase_view/18069749", "UA-2020-07-23-003542-b")</f>
        <v/>
      </c>
      <c r="C631" t="s" s="2">
        <v>3245</v>
      </c>
      <c r="D631" s="2">
        <f>HYPERLINK("https://my.zakupki.prom.ua/remote/dispatcher/state_contracting_view/4918238", "UA-2020-07-23-003542-b-b1")</f>
        <v/>
      </c>
      <c r="E631" t="s" s="1">
        <v>570</v>
      </c>
      <c r="F631" t="s" s="1">
        <v>2494</v>
      </c>
      <c r="G631" t="s" s="1">
        <v>2494</v>
      </c>
      <c r="H631" t="s" s="1">
        <v>596</v>
      </c>
      <c r="I631" t="s" s="1">
        <v>2361</v>
      </c>
      <c r="J631" t="s" s="1">
        <v>2316</v>
      </c>
      <c r="K631" t="s" s="1">
        <v>768</v>
      </c>
      <c r="L631" t="s" s="1">
        <v>806</v>
      </c>
      <c r="M631" t="n" s="5">
        <v>15760.0</v>
      </c>
      <c r="N631" t="n" s="7">
        <v>44035.0</v>
      </c>
      <c r="O631" t="n" s="7">
        <v>44196.0</v>
      </c>
      <c r="P631" t="s" s="1">
        <v>3499</v>
      </c>
    </row>
    <row r="632" spans="1:16">
      <c r="A632" t="n" s="4">
        <v>627</v>
      </c>
      <c r="B632" s="2">
        <f>HYPERLINK("https://my.zakupki.prom.ua/remote/dispatcher/state_purchase_view/18045326", "UA-2020-07-22-005205-b")</f>
        <v/>
      </c>
      <c r="C632" t="s" s="2">
        <v>3245</v>
      </c>
      <c r="D632" s="2">
        <f>HYPERLINK("https://my.zakupki.prom.ua/remote/dispatcher/state_contracting_view/4906685", "UA-2020-07-22-005205-b-b1")</f>
        <v/>
      </c>
      <c r="E632" t="s" s="1">
        <v>2080</v>
      </c>
      <c r="F632" t="s" s="1">
        <v>2956</v>
      </c>
      <c r="G632" t="s" s="1">
        <v>2956</v>
      </c>
      <c r="H632" t="s" s="1">
        <v>733</v>
      </c>
      <c r="I632" t="s" s="1">
        <v>2361</v>
      </c>
      <c r="J632" t="s" s="1">
        <v>3305</v>
      </c>
      <c r="K632" t="s" s="1">
        <v>530</v>
      </c>
      <c r="L632" t="s" s="1">
        <v>789</v>
      </c>
      <c r="M632" t="n" s="5">
        <v>326.75</v>
      </c>
      <c r="N632" t="n" s="7">
        <v>44033.0</v>
      </c>
      <c r="O632" t="n" s="7">
        <v>44196.0</v>
      </c>
      <c r="P632" t="s" s="1">
        <v>3499</v>
      </c>
    </row>
    <row r="633" spans="1:16">
      <c r="A633" t="n" s="4">
        <v>628</v>
      </c>
      <c r="B633" s="2">
        <f>HYPERLINK("https://my.zakupki.prom.ua/remote/dispatcher/state_purchase_view/18195389", "UA-2020-07-29-005939-c")</f>
        <v/>
      </c>
      <c r="C633" t="s" s="2">
        <v>3245</v>
      </c>
      <c r="D633" s="2">
        <f>HYPERLINK("https://my.zakupki.prom.ua/remote/dispatcher/state_contracting_view/4977579", "UA-2020-07-29-005939-c-c1")</f>
        <v/>
      </c>
      <c r="E633" t="s" s="1">
        <v>1937</v>
      </c>
      <c r="F633" t="s" s="1">
        <v>2940</v>
      </c>
      <c r="G633" t="s" s="1">
        <v>2940</v>
      </c>
      <c r="H633" t="s" s="1">
        <v>725</v>
      </c>
      <c r="I633" t="s" s="1">
        <v>2361</v>
      </c>
      <c r="J633" t="s" s="1">
        <v>3402</v>
      </c>
      <c r="K633" t="s" s="1">
        <v>375</v>
      </c>
      <c r="L633" t="s" s="1">
        <v>413</v>
      </c>
      <c r="M633" t="n" s="5">
        <v>54749.0</v>
      </c>
      <c r="N633" t="n" s="7">
        <v>44041.0</v>
      </c>
      <c r="O633" t="n" s="7">
        <v>44196.0</v>
      </c>
      <c r="P633" t="s" s="1">
        <v>3499</v>
      </c>
    </row>
    <row r="634" spans="1:16">
      <c r="A634" t="n" s="4">
        <v>629</v>
      </c>
      <c r="B634" s="2">
        <f>HYPERLINK("https://my.zakupki.prom.ua/remote/dispatcher/state_purchase_view/17616358", "UA-2020-07-02-007705-a")</f>
        <v/>
      </c>
      <c r="C634" t="s" s="2">
        <v>3245</v>
      </c>
      <c r="D634" s="2">
        <f>HYPERLINK("https://my.zakupki.prom.ua/remote/dispatcher/state_contracting_view/4707316", "UA-2020-07-02-007705-a-a1")</f>
        <v/>
      </c>
      <c r="E634" t="s" s="1">
        <v>308</v>
      </c>
      <c r="F634" t="s" s="1">
        <v>2485</v>
      </c>
      <c r="G634" t="s" s="1">
        <v>2485</v>
      </c>
      <c r="H634" t="s" s="1">
        <v>1044</v>
      </c>
      <c r="I634" t="s" s="1">
        <v>2361</v>
      </c>
      <c r="J634" t="s" s="1">
        <v>3446</v>
      </c>
      <c r="K634" t="s" s="1">
        <v>652</v>
      </c>
      <c r="L634" t="s" s="1">
        <v>467</v>
      </c>
      <c r="M634" t="n" s="5">
        <v>49268.0</v>
      </c>
      <c r="N634" t="n" s="7">
        <v>44014.0</v>
      </c>
      <c r="O634" t="n" s="7">
        <v>44196.0</v>
      </c>
      <c r="P634" t="s" s="1">
        <v>3499</v>
      </c>
    </row>
    <row r="635" spans="1:16">
      <c r="A635" t="n" s="4">
        <v>630</v>
      </c>
      <c r="B635" s="2">
        <f>HYPERLINK("https://my.zakupki.prom.ua/remote/dispatcher/state_purchase_view/17631772", "UA-2020-07-03-001709-a")</f>
        <v/>
      </c>
      <c r="C635" t="s" s="2">
        <v>3245</v>
      </c>
      <c r="D635" s="2">
        <f>HYPERLINK("https://my.zakupki.prom.ua/remote/dispatcher/state_contracting_view/4714541", "UA-2020-07-03-001709-a-a1")</f>
        <v/>
      </c>
      <c r="E635" t="s" s="1">
        <v>2234</v>
      </c>
      <c r="F635" t="s" s="1">
        <v>3161</v>
      </c>
      <c r="G635" t="s" s="1">
        <v>3161</v>
      </c>
      <c r="H635" t="s" s="1">
        <v>1148</v>
      </c>
      <c r="I635" t="s" s="1">
        <v>2361</v>
      </c>
      <c r="J635" t="s" s="1">
        <v>2320</v>
      </c>
      <c r="K635" t="s" s="1">
        <v>50</v>
      </c>
      <c r="L635" t="s" s="1">
        <v>357</v>
      </c>
      <c r="M635" t="n" s="5">
        <v>4773.0</v>
      </c>
      <c r="N635" t="n" s="7">
        <v>44015.0</v>
      </c>
      <c r="O635" t="n" s="7">
        <v>44196.0</v>
      </c>
      <c r="P635" t="s" s="1">
        <v>3499</v>
      </c>
    </row>
    <row r="636" spans="1:16">
      <c r="A636" t="n" s="4">
        <v>631</v>
      </c>
      <c r="B636" s="2">
        <f>HYPERLINK("https://my.zakupki.prom.ua/remote/dispatcher/state_purchase_view/17670241", "UA-2020-07-06-003268-a")</f>
        <v/>
      </c>
      <c r="C636" t="s" s="2">
        <v>3245</v>
      </c>
      <c r="D636" s="2">
        <f>HYPERLINK("https://my.zakupki.prom.ua/remote/dispatcher/state_contracting_view/4732252", "UA-2020-07-06-003268-a-a1")</f>
        <v/>
      </c>
      <c r="E636" t="s" s="1">
        <v>1650</v>
      </c>
      <c r="F636" t="s" s="1">
        <v>3100</v>
      </c>
      <c r="G636" t="s" s="1">
        <v>3100</v>
      </c>
      <c r="H636" t="s" s="1">
        <v>1144</v>
      </c>
      <c r="I636" t="s" s="1">
        <v>2361</v>
      </c>
      <c r="J636" t="s" s="1">
        <v>3220</v>
      </c>
      <c r="K636" t="s" s="1">
        <v>588</v>
      </c>
      <c r="L636" t="s" s="1">
        <v>499</v>
      </c>
      <c r="M636" t="n" s="5">
        <v>480.0</v>
      </c>
      <c r="N636" t="n" s="7">
        <v>44018.0</v>
      </c>
      <c r="O636" t="n" s="7">
        <v>44196.0</v>
      </c>
      <c r="P636" t="s" s="1">
        <v>3499</v>
      </c>
    </row>
    <row r="637" spans="1:16">
      <c r="A637" t="n" s="4">
        <v>632</v>
      </c>
      <c r="B637" s="2">
        <f>HYPERLINK("https://my.zakupki.prom.ua/remote/dispatcher/state_purchase_view/18797538", "UA-2020-08-26-005751-a")</f>
        <v/>
      </c>
      <c r="C637" t="s" s="2">
        <v>3245</v>
      </c>
      <c r="D637" s="2">
        <f>HYPERLINK("https://my.zakupki.prom.ua/remote/dispatcher/state_contracting_view/5260583", "UA-2020-08-26-005751-a-a1")</f>
        <v/>
      </c>
      <c r="E637" t="s" s="1">
        <v>60</v>
      </c>
      <c r="F637" t="s" s="1">
        <v>3151</v>
      </c>
      <c r="G637" t="s" s="1">
        <v>3151</v>
      </c>
      <c r="H637" t="s" s="1">
        <v>1852</v>
      </c>
      <c r="I637" t="s" s="1">
        <v>2361</v>
      </c>
      <c r="J637" t="s" s="1">
        <v>2286</v>
      </c>
      <c r="K637" t="s" s="1">
        <v>54</v>
      </c>
      <c r="L637" t="s" s="1">
        <v>262</v>
      </c>
      <c r="M637" t="n" s="5">
        <v>3600.0</v>
      </c>
      <c r="N637" t="n" s="7">
        <v>44069.0</v>
      </c>
      <c r="O637" t="n" s="7">
        <v>44196.0</v>
      </c>
      <c r="P637" t="s" s="1">
        <v>3499</v>
      </c>
    </row>
    <row r="638" spans="1:16">
      <c r="A638" t="n" s="4">
        <v>633</v>
      </c>
      <c r="B638" s="2">
        <f>HYPERLINK("https://my.zakupki.prom.ua/remote/dispatcher/state_purchase_view/18986518", "UA-2020-09-03-006223-b")</f>
        <v/>
      </c>
      <c r="C638" t="s" s="2">
        <v>3245</v>
      </c>
      <c r="D638" s="2">
        <f>HYPERLINK("https://my.zakupki.prom.ua/remote/dispatcher/state_contracting_view/5349596", "UA-2020-09-03-006223-b-b1")</f>
        <v/>
      </c>
      <c r="E638" t="s" s="1">
        <v>2105</v>
      </c>
      <c r="F638" t="s" s="1">
        <v>2774</v>
      </c>
      <c r="G638" t="s" s="1">
        <v>2774</v>
      </c>
      <c r="H638" t="s" s="1">
        <v>690</v>
      </c>
      <c r="I638" t="s" s="1">
        <v>2361</v>
      </c>
      <c r="J638" t="s" s="1">
        <v>3300</v>
      </c>
      <c r="K638" t="s" s="1">
        <v>593</v>
      </c>
      <c r="L638" t="s" s="1">
        <v>1223</v>
      </c>
      <c r="M638" t="n" s="5">
        <v>4119.2</v>
      </c>
      <c r="N638" t="n" s="7">
        <v>44076.0</v>
      </c>
      <c r="O638" t="n" s="7">
        <v>44196.0</v>
      </c>
      <c r="P638" t="s" s="1">
        <v>3499</v>
      </c>
    </row>
    <row r="639" spans="1:16">
      <c r="A639" t="n" s="4">
        <v>634</v>
      </c>
      <c r="B639" s="2">
        <f>HYPERLINK("https://my.zakupki.prom.ua/remote/dispatcher/state_purchase_view/18994814", "UA-2020-09-03-008539-b")</f>
        <v/>
      </c>
      <c r="C639" t="s" s="2">
        <v>3245</v>
      </c>
      <c r="D639" s="2">
        <f>HYPERLINK("https://my.zakupki.prom.ua/remote/dispatcher/state_contracting_view/5353802", "UA-2020-09-03-008539-b-b1")</f>
        <v/>
      </c>
      <c r="E639" t="s" s="1">
        <v>31</v>
      </c>
      <c r="F639" t="s" s="1">
        <v>2701</v>
      </c>
      <c r="G639" t="s" s="1">
        <v>2701</v>
      </c>
      <c r="H639" t="s" s="1">
        <v>603</v>
      </c>
      <c r="I639" t="s" s="1">
        <v>2361</v>
      </c>
      <c r="J639" t="s" s="1">
        <v>3384</v>
      </c>
      <c r="K639" t="s" s="1">
        <v>930</v>
      </c>
      <c r="L639" t="s" s="1">
        <v>112</v>
      </c>
      <c r="M639" t="n" s="5">
        <v>27350.0</v>
      </c>
      <c r="N639" t="n" s="7">
        <v>44077.0</v>
      </c>
      <c r="O639" t="n" s="7">
        <v>44196.0</v>
      </c>
      <c r="P639" t="s" s="1">
        <v>3499</v>
      </c>
    </row>
    <row r="640" spans="1:16">
      <c r="A640" t="n" s="4">
        <v>635</v>
      </c>
      <c r="B640" s="2">
        <f>HYPERLINK("https://my.zakupki.prom.ua/remote/dispatcher/state_purchase_view/18588656", "UA-2020-08-17-003953-a")</f>
        <v/>
      </c>
      <c r="C640" t="s" s="2">
        <v>3245</v>
      </c>
      <c r="D640" s="2">
        <f>HYPERLINK("https://my.zakupki.prom.ua/remote/dispatcher/state_contracting_view/5235463", "UA-2020-08-17-003953-a-a1")</f>
        <v/>
      </c>
      <c r="E640" t="s" s="1">
        <v>407</v>
      </c>
      <c r="F640" t="s" s="1">
        <v>2875</v>
      </c>
      <c r="G640" t="s" s="1">
        <v>2876</v>
      </c>
      <c r="H640" t="s" s="1">
        <v>718</v>
      </c>
      <c r="I640" t="s" s="1">
        <v>3313</v>
      </c>
      <c r="J640" t="s" s="1">
        <v>3392</v>
      </c>
      <c r="K640" t="s" s="1">
        <v>428</v>
      </c>
      <c r="L640" t="s" s="1">
        <v>1163</v>
      </c>
      <c r="M640" t="n" s="5">
        <v>154221.24</v>
      </c>
      <c r="N640" t="n" s="7">
        <v>44068.0</v>
      </c>
      <c r="O640" t="n" s="7">
        <v>44196.0</v>
      </c>
      <c r="P640" t="s" s="1">
        <v>3499</v>
      </c>
    </row>
    <row r="641" spans="1:16">
      <c r="A641" t="n" s="4">
        <v>636</v>
      </c>
      <c r="B641" s="2">
        <f>HYPERLINK("https://my.zakupki.prom.ua/remote/dispatcher/state_purchase_view/18930090", "UA-2020-09-02-000609-b")</f>
        <v/>
      </c>
      <c r="C641" t="s" s="2">
        <v>3245</v>
      </c>
      <c r="D641" s="2">
        <f>HYPERLINK("https://my.zakupki.prom.ua/remote/dispatcher/state_contracting_view/5323304", "UA-2020-09-02-000609-b-b1")</f>
        <v/>
      </c>
      <c r="E641" t="s" s="1">
        <v>2188</v>
      </c>
      <c r="F641" t="s" s="1">
        <v>2906</v>
      </c>
      <c r="G641" t="s" s="1">
        <v>3545</v>
      </c>
      <c r="H641" t="s" s="1">
        <v>718</v>
      </c>
      <c r="I641" t="s" s="1">
        <v>2361</v>
      </c>
      <c r="J641" t="s" s="1">
        <v>3392</v>
      </c>
      <c r="K641" t="s" s="1">
        <v>428</v>
      </c>
      <c r="L641" t="s" s="1">
        <v>1203</v>
      </c>
      <c r="M641" t="n" s="5">
        <v>896.6</v>
      </c>
      <c r="N641" t="n" s="7">
        <v>44076.0</v>
      </c>
      <c r="O641" t="n" s="7">
        <v>44196.0</v>
      </c>
      <c r="P641" t="s" s="1">
        <v>3499</v>
      </c>
    </row>
    <row r="642" spans="1:16">
      <c r="A642" t="n" s="4">
        <v>637</v>
      </c>
      <c r="B642" s="2">
        <f>HYPERLINK("https://my.zakupki.prom.ua/remote/dispatcher/state_purchase_view/17857058", "UA-2020-07-14-003476-c")</f>
        <v/>
      </c>
      <c r="C642" t="s" s="2">
        <v>3245</v>
      </c>
      <c r="D642" s="2">
        <f>HYPERLINK("https://my.zakupki.prom.ua/remote/dispatcher/state_contracting_view/4819137", "UA-2020-07-14-003476-c-c1")</f>
        <v/>
      </c>
      <c r="E642" t="s" s="1">
        <v>42</v>
      </c>
      <c r="F642" t="s" s="1">
        <v>2746</v>
      </c>
      <c r="G642" t="s" s="1">
        <v>2746</v>
      </c>
      <c r="H642" t="s" s="1">
        <v>690</v>
      </c>
      <c r="I642" t="s" s="1">
        <v>2361</v>
      </c>
      <c r="J642" t="s" s="1">
        <v>3302</v>
      </c>
      <c r="K642" t="s" s="1">
        <v>617</v>
      </c>
      <c r="L642" t="s" s="1">
        <v>640</v>
      </c>
      <c r="M642" t="n" s="5">
        <v>2022.26</v>
      </c>
      <c r="N642" t="n" s="7">
        <v>44022.0</v>
      </c>
      <c r="O642" t="n" s="7">
        <v>44196.0</v>
      </c>
      <c r="P642" t="s" s="1">
        <v>3499</v>
      </c>
    </row>
    <row r="643" spans="1:16">
      <c r="A643" t="n" s="4">
        <v>638</v>
      </c>
      <c r="B643" s="2">
        <f>HYPERLINK("https://my.zakupki.prom.ua/remote/dispatcher/state_purchase_view/17961091", "UA-2020-07-17-005829-b")</f>
        <v/>
      </c>
      <c r="C643" t="s" s="2">
        <v>3245</v>
      </c>
      <c r="D643" s="2">
        <f>HYPERLINK("https://my.zakupki.prom.ua/remote/dispatcher/state_contracting_view/4867097", "UA-2020-07-17-005829-b-b1")</f>
        <v/>
      </c>
      <c r="E643" t="s" s="1">
        <v>1464</v>
      </c>
      <c r="F643" t="s" s="1">
        <v>2661</v>
      </c>
      <c r="G643" t="s" s="1">
        <v>2661</v>
      </c>
      <c r="H643" t="s" s="1">
        <v>445</v>
      </c>
      <c r="I643" t="s" s="1">
        <v>2361</v>
      </c>
      <c r="J643" t="s" s="1">
        <v>3418</v>
      </c>
      <c r="K643" t="s" s="1">
        <v>949</v>
      </c>
      <c r="L643" t="s" s="1">
        <v>739</v>
      </c>
      <c r="M643" t="n" s="5">
        <v>5985.0</v>
      </c>
      <c r="N643" t="n" s="7">
        <v>44029.0</v>
      </c>
      <c r="O643" t="n" s="7">
        <v>44196.0</v>
      </c>
      <c r="P643" t="s" s="1">
        <v>3499</v>
      </c>
    </row>
    <row r="644" spans="1:16">
      <c r="A644" t="n" s="4">
        <v>639</v>
      </c>
      <c r="B644" s="2">
        <f>HYPERLINK("https://my.zakupki.prom.ua/remote/dispatcher/state_purchase_view/16752414", "UA-2020-05-19-006035-c")</f>
        <v/>
      </c>
      <c r="C644" t="s" s="2">
        <v>3245</v>
      </c>
      <c r="D644" s="2">
        <f>HYPERLINK("https://my.zakupki.prom.ua/remote/dispatcher/state_contracting_view/4310633", "UA-2020-05-19-006035-c-c1")</f>
        <v/>
      </c>
      <c r="E644" t="s" s="1">
        <v>2133</v>
      </c>
      <c r="F644" t="s" s="1">
        <v>2491</v>
      </c>
      <c r="G644" t="s" s="1">
        <v>2490</v>
      </c>
      <c r="H644" t="s" s="1">
        <v>703</v>
      </c>
      <c r="I644" t="s" s="1">
        <v>2361</v>
      </c>
      <c r="J644" t="s" s="1">
        <v>3392</v>
      </c>
      <c r="K644" t="s" s="1">
        <v>428</v>
      </c>
      <c r="L644" t="s" s="1">
        <v>208</v>
      </c>
      <c r="M644" t="n" s="5">
        <v>18450.0</v>
      </c>
      <c r="N644" t="n" s="7">
        <v>43969.0</v>
      </c>
      <c r="O644" t="n" s="7">
        <v>44196.0</v>
      </c>
      <c r="P644" t="s" s="1">
        <v>3499</v>
      </c>
    </row>
    <row r="645" spans="1:16">
      <c r="A645" t="n" s="4">
        <v>640</v>
      </c>
      <c r="B645" s="2">
        <f>HYPERLINK("https://my.zakupki.prom.ua/remote/dispatcher/state_purchase_view/16750448", "UA-2020-05-19-005507-c")</f>
        <v/>
      </c>
      <c r="C645" t="s" s="2">
        <v>3245</v>
      </c>
      <c r="D645" s="2">
        <f>HYPERLINK("https://my.zakupki.prom.ua/remote/dispatcher/state_contracting_view/4309943", "UA-2020-05-19-005507-c-c1")</f>
        <v/>
      </c>
      <c r="E645" t="s" s="1">
        <v>248</v>
      </c>
      <c r="F645" t="s" s="1">
        <v>3511</v>
      </c>
      <c r="G645" t="s" s="1">
        <v>2365</v>
      </c>
      <c r="H645" t="s" s="1">
        <v>445</v>
      </c>
      <c r="I645" t="s" s="1">
        <v>2361</v>
      </c>
      <c r="J645" t="s" s="1">
        <v>3407</v>
      </c>
      <c r="K645" t="s" s="1">
        <v>838</v>
      </c>
      <c r="L645" t="s" s="1">
        <v>182</v>
      </c>
      <c r="M645" t="n" s="5">
        <v>49980.0</v>
      </c>
      <c r="N645" t="n" s="7">
        <v>43969.0</v>
      </c>
      <c r="O645" t="n" s="7">
        <v>44196.0</v>
      </c>
      <c r="P645" t="s" s="1">
        <v>3499</v>
      </c>
    </row>
    <row r="646" spans="1:16">
      <c r="A646" t="n" s="4">
        <v>641</v>
      </c>
      <c r="B646" s="2">
        <f>HYPERLINK("https://my.zakupki.prom.ua/remote/dispatcher/state_purchase_view/17136653", "UA-2020-06-10-003615-b")</f>
        <v/>
      </c>
      <c r="C646" t="s" s="2">
        <v>3245</v>
      </c>
      <c r="D646" s="2">
        <f>HYPERLINK("https://my.zakupki.prom.ua/remote/dispatcher/state_contracting_view/4487260", "UA-2020-06-10-003615-b-b1")</f>
        <v/>
      </c>
      <c r="E646" t="s" s="1">
        <v>1127</v>
      </c>
      <c r="F646" t="s" s="1">
        <v>3167</v>
      </c>
      <c r="G646" t="s" s="1">
        <v>3237</v>
      </c>
      <c r="H646" t="s" s="1">
        <v>830</v>
      </c>
      <c r="I646" t="s" s="1">
        <v>2361</v>
      </c>
      <c r="J646" t="s" s="1">
        <v>2357</v>
      </c>
      <c r="K646" t="s" s="1">
        <v>713</v>
      </c>
      <c r="L646" t="s" s="1">
        <v>277</v>
      </c>
      <c r="M646" t="n" s="5">
        <v>65000.0</v>
      </c>
      <c r="N646" t="n" s="7">
        <v>43992.0</v>
      </c>
      <c r="O646" t="n" s="7">
        <v>44196.0</v>
      </c>
      <c r="P646" t="s" s="1">
        <v>3499</v>
      </c>
    </row>
    <row r="647" spans="1:16">
      <c r="A647" t="n" s="4">
        <v>642</v>
      </c>
      <c r="B647" s="2">
        <f>HYPERLINK("https://my.zakupki.prom.ua/remote/dispatcher/state_purchase_view/20278223", "UA-2020-10-20-006248-a")</f>
        <v/>
      </c>
      <c r="C647" t="s" s="2">
        <v>3245</v>
      </c>
      <c r="D647" s="2">
        <f>HYPERLINK("https://my.zakupki.prom.ua/remote/dispatcher/state_contracting_view/5959915", "UA-2020-10-20-006248-a-a1")</f>
        <v/>
      </c>
      <c r="E647" t="s" s="1">
        <v>2139</v>
      </c>
      <c r="F647" t="s" s="1">
        <v>2554</v>
      </c>
      <c r="G647" t="s" s="1">
        <v>2554</v>
      </c>
      <c r="H647" t="s" s="1">
        <v>213</v>
      </c>
      <c r="I647" t="s" s="1">
        <v>2361</v>
      </c>
      <c r="J647" t="s" s="1">
        <v>3467</v>
      </c>
      <c r="K647" t="s" s="1">
        <v>766</v>
      </c>
      <c r="L647" t="s" s="1">
        <v>1561</v>
      </c>
      <c r="M647" t="n" s="5">
        <v>1590.0</v>
      </c>
      <c r="N647" t="n" s="7">
        <v>44123.0</v>
      </c>
      <c r="O647" t="n" s="7">
        <v>44196.0</v>
      </c>
      <c r="P647" t="s" s="1">
        <v>3499</v>
      </c>
    </row>
    <row r="648" spans="1:16">
      <c r="A648" t="n" s="4">
        <v>643</v>
      </c>
      <c r="B648" s="2">
        <f>HYPERLINK("https://my.zakupki.prom.ua/remote/dispatcher/state_purchase_view/20280645", "UA-2020-10-20-006985-a")</f>
        <v/>
      </c>
      <c r="C648" t="s" s="2">
        <v>3245</v>
      </c>
      <c r="D648" s="2">
        <f>HYPERLINK("https://my.zakupki.prom.ua/remote/dispatcher/state_contracting_view/5961555", "UA-2020-10-20-006985-a-a1")</f>
        <v/>
      </c>
      <c r="E648" t="s" s="1">
        <v>1111</v>
      </c>
      <c r="F648" t="s" s="1">
        <v>2605</v>
      </c>
      <c r="G648" t="s" s="1">
        <v>2605</v>
      </c>
      <c r="H648" t="s" s="1">
        <v>222</v>
      </c>
      <c r="I648" t="s" s="1">
        <v>2361</v>
      </c>
      <c r="J648" t="s" s="1">
        <v>3467</v>
      </c>
      <c r="K648" t="s" s="1">
        <v>766</v>
      </c>
      <c r="L648" t="s" s="1">
        <v>1567</v>
      </c>
      <c r="M648" t="n" s="5">
        <v>5277.5</v>
      </c>
      <c r="N648" t="n" s="7">
        <v>44123.0</v>
      </c>
      <c r="O648" t="n" s="7">
        <v>44196.0</v>
      </c>
      <c r="P648" t="s" s="1">
        <v>3499</v>
      </c>
    </row>
    <row r="649" spans="1:16">
      <c r="A649" t="n" s="4">
        <v>644</v>
      </c>
      <c r="B649" s="2">
        <f>HYPERLINK("https://my.zakupki.prom.ua/remote/dispatcher/state_purchase_view/20207317", "UA-2020-10-19-003602-c")</f>
        <v/>
      </c>
      <c r="C649" t="s" s="2">
        <v>3245</v>
      </c>
      <c r="D649" s="2">
        <f>HYPERLINK("https://my.zakupki.prom.ua/remote/dispatcher/state_contracting_view/5926245", "UA-2020-10-19-003602-c-c1")</f>
        <v/>
      </c>
      <c r="E649" t="s" s="1">
        <v>1640</v>
      </c>
      <c r="F649" t="s" s="1">
        <v>2638</v>
      </c>
      <c r="G649" t="s" s="1">
        <v>2638</v>
      </c>
      <c r="H649" t="s" s="1">
        <v>297</v>
      </c>
      <c r="I649" t="s" s="1">
        <v>2361</v>
      </c>
      <c r="J649" t="s" s="1">
        <v>3467</v>
      </c>
      <c r="K649" t="s" s="1">
        <v>766</v>
      </c>
      <c r="L649" t="s" s="1">
        <v>1540</v>
      </c>
      <c r="M649" t="n" s="5">
        <v>8490.0</v>
      </c>
      <c r="N649" t="n" s="7">
        <v>44120.0</v>
      </c>
      <c r="O649" t="n" s="7">
        <v>44196.0</v>
      </c>
      <c r="P649" t="s" s="1">
        <v>3499</v>
      </c>
    </row>
    <row r="650" spans="1:16">
      <c r="A650" t="n" s="4">
        <v>645</v>
      </c>
      <c r="B650" s="2">
        <f>HYPERLINK("https://my.zakupki.prom.ua/remote/dispatcher/state_purchase_view/19523426", "UA-2020-09-23-005665-b")</f>
        <v/>
      </c>
      <c r="C650" t="s" s="2">
        <v>3245</v>
      </c>
      <c r="D650" s="2">
        <f>HYPERLINK("https://my.zakupki.prom.ua/remote/dispatcher/state_contracting_view/6051837", "UA-2020-09-23-005665-b-c1")</f>
        <v/>
      </c>
      <c r="E650" t="s" s="1">
        <v>1169</v>
      </c>
      <c r="F650" t="s" s="1">
        <v>2976</v>
      </c>
      <c r="G650" t="s" s="1">
        <v>2975</v>
      </c>
      <c r="H650" t="s" s="1">
        <v>830</v>
      </c>
      <c r="I650" t="s" s="1">
        <v>2311</v>
      </c>
      <c r="J650" t="s" s="1">
        <v>3437</v>
      </c>
      <c r="K650" t="s" s="1">
        <v>683</v>
      </c>
      <c r="L650" t="s" s="1">
        <v>1576</v>
      </c>
      <c r="M650" t="n" s="5">
        <v>598000.0</v>
      </c>
      <c r="N650" t="n" s="7">
        <v>44130.0</v>
      </c>
      <c r="O650" t="n" s="7">
        <v>44196.0</v>
      </c>
      <c r="P650" t="s" s="1">
        <v>3499</v>
      </c>
    </row>
    <row r="651" spans="1:16">
      <c r="A651" t="n" s="4">
        <v>646</v>
      </c>
      <c r="B651" s="2">
        <f>HYPERLINK("https://my.zakupki.prom.ua/remote/dispatcher/state_purchase_view/21174017", "UA-2020-11-18-001762-c")</f>
        <v/>
      </c>
      <c r="C651" t="s" s="2">
        <v>3245</v>
      </c>
      <c r="D651" s="2">
        <f>HYPERLINK("https://my.zakupki.prom.ua/remote/dispatcher/state_contracting_view/6388739", "UA-2020-11-18-001762-c-c1")</f>
        <v/>
      </c>
      <c r="E651" t="s" s="1">
        <v>97</v>
      </c>
      <c r="F651" t="s" s="1">
        <v>2509</v>
      </c>
      <c r="G651" t="s" s="1">
        <v>2509</v>
      </c>
      <c r="H651" t="s" s="1">
        <v>39</v>
      </c>
      <c r="I651" t="s" s="1">
        <v>2361</v>
      </c>
      <c r="J651" t="s" s="1">
        <v>3467</v>
      </c>
      <c r="K651" t="s" s="1">
        <v>766</v>
      </c>
      <c r="L651" t="s" s="1">
        <v>1757</v>
      </c>
      <c r="M651" t="n" s="5">
        <v>11522.76</v>
      </c>
      <c r="N651" t="n" s="7">
        <v>44151.0</v>
      </c>
      <c r="O651" t="n" s="7">
        <v>44196.0</v>
      </c>
      <c r="P651" t="s" s="1">
        <v>3499</v>
      </c>
    </row>
    <row r="652" spans="1:16">
      <c r="A652" t="n" s="4">
        <v>647</v>
      </c>
      <c r="B652" s="2">
        <f>HYPERLINK("https://my.zakupki.prom.ua/remote/dispatcher/state_purchase_view/21171057", "UA-2020-11-18-000855-c")</f>
        <v/>
      </c>
      <c r="C652" t="s" s="2">
        <v>3245</v>
      </c>
      <c r="D652" s="2">
        <f>HYPERLINK("https://my.zakupki.prom.ua/remote/dispatcher/state_contracting_view/6387199", "UA-2020-11-18-000855-c-c1")</f>
        <v/>
      </c>
      <c r="E652" t="s" s="1">
        <v>1701</v>
      </c>
      <c r="F652" t="s" s="1">
        <v>2556</v>
      </c>
      <c r="G652" t="s" s="1">
        <v>2556</v>
      </c>
      <c r="H652" t="s" s="1">
        <v>213</v>
      </c>
      <c r="I652" t="s" s="1">
        <v>2361</v>
      </c>
      <c r="J652" t="s" s="1">
        <v>3467</v>
      </c>
      <c r="K652" t="s" s="1">
        <v>766</v>
      </c>
      <c r="L652" t="s" s="1">
        <v>1750</v>
      </c>
      <c r="M652" t="n" s="5">
        <v>1650.0</v>
      </c>
      <c r="N652" t="n" s="7">
        <v>44151.0</v>
      </c>
      <c r="O652" t="n" s="7">
        <v>44196.0</v>
      </c>
      <c r="P652" t="s" s="1">
        <v>3499</v>
      </c>
    </row>
    <row r="653" spans="1:16">
      <c r="A653" t="n" s="4">
        <v>648</v>
      </c>
      <c r="B653" s="2">
        <f>HYPERLINK("https://my.zakupki.prom.ua/remote/dispatcher/state_purchase_view/21126788", "UA-2020-11-17-001567-c")</f>
        <v/>
      </c>
      <c r="C653" t="s" s="2">
        <v>3245</v>
      </c>
      <c r="D653" s="2">
        <f>HYPERLINK("https://my.zakupki.prom.ua/remote/dispatcher/state_contracting_view/6366938", "UA-2020-11-17-001567-c-c1")</f>
        <v/>
      </c>
      <c r="E653" t="s" s="1">
        <v>1069</v>
      </c>
      <c r="F653" t="s" s="1">
        <v>3132</v>
      </c>
      <c r="G653" t="s" s="1">
        <v>3133</v>
      </c>
      <c r="H653" t="s" s="1">
        <v>1505</v>
      </c>
      <c r="I653" t="s" s="1">
        <v>2361</v>
      </c>
      <c r="J653" t="s" s="1">
        <v>3413</v>
      </c>
      <c r="K653" t="s" s="1">
        <v>677</v>
      </c>
      <c r="L653" t="s" s="1">
        <v>1704</v>
      </c>
      <c r="M653" t="n" s="5">
        <v>3049.92</v>
      </c>
      <c r="N653" t="n" s="7">
        <v>44151.0</v>
      </c>
      <c r="O653" t="n" s="7">
        <v>44196.0</v>
      </c>
      <c r="P653" t="s" s="1">
        <v>3499</v>
      </c>
    </row>
    <row r="654" spans="1:16">
      <c r="A654" t="n" s="4">
        <v>649</v>
      </c>
      <c r="B654" s="2">
        <f>HYPERLINK("https://my.zakupki.prom.ua/remote/dispatcher/state_purchase_view/21284016", "UA-2020-11-20-007493-c")</f>
        <v/>
      </c>
      <c r="C654" t="s" s="2">
        <v>3245</v>
      </c>
      <c r="D654" s="2">
        <f>HYPERLINK("https://my.zakupki.prom.ua/remote/dispatcher/state_contracting_view/6439591", "UA-2020-11-20-007493-c-c1")</f>
        <v/>
      </c>
      <c r="E654" t="s" s="1">
        <v>1925</v>
      </c>
      <c r="F654" t="s" s="1">
        <v>2822</v>
      </c>
      <c r="G654" t="s" s="1">
        <v>2822</v>
      </c>
      <c r="H654" t="s" s="1">
        <v>699</v>
      </c>
      <c r="I654" t="s" s="1">
        <v>2361</v>
      </c>
      <c r="J654" t="s" s="1">
        <v>3403</v>
      </c>
      <c r="K654" t="s" s="1">
        <v>771</v>
      </c>
      <c r="L654" t="s" s="1">
        <v>1772</v>
      </c>
      <c r="M654" t="n" s="5">
        <v>6045.5</v>
      </c>
      <c r="N654" t="n" s="7">
        <v>44155.0</v>
      </c>
      <c r="O654" t="n" s="7">
        <v>44196.0</v>
      </c>
      <c r="P654" t="s" s="1">
        <v>3499</v>
      </c>
    </row>
    <row r="655" spans="1:16">
      <c r="A655" t="n" s="4">
        <v>650</v>
      </c>
      <c r="B655" s="2">
        <f>HYPERLINK("https://my.zakupki.prom.ua/remote/dispatcher/state_purchase_view/21585353", "UA-2020-12-01-000316-b")</f>
        <v/>
      </c>
      <c r="C655" t="s" s="2">
        <v>3245</v>
      </c>
      <c r="D655" s="2">
        <f>HYPERLINK("https://my.zakupki.prom.ua/remote/dispatcher/state_contracting_view/6580679", "UA-2020-12-01-000316-b-b1")</f>
        <v/>
      </c>
      <c r="E655" t="s" s="1">
        <v>422</v>
      </c>
      <c r="F655" t="s" s="1">
        <v>2986</v>
      </c>
      <c r="G655" t="s" s="1">
        <v>2986</v>
      </c>
      <c r="H655" t="s" s="1">
        <v>845</v>
      </c>
      <c r="I655" t="s" s="1">
        <v>2361</v>
      </c>
      <c r="J655" t="s" s="1">
        <v>2377</v>
      </c>
      <c r="K655" t="s" s="1">
        <v>616</v>
      </c>
      <c r="L655" t="s" s="1">
        <v>16</v>
      </c>
      <c r="M655" t="n" s="5">
        <v>24180.0</v>
      </c>
      <c r="N655" t="n" s="7">
        <v>44166.0</v>
      </c>
      <c r="O655" t="n" s="7">
        <v>44196.0</v>
      </c>
      <c r="P655" t="s" s="1">
        <v>3499</v>
      </c>
    </row>
    <row r="656" spans="1:16">
      <c r="A656" t="n" s="4">
        <v>651</v>
      </c>
      <c r="B656" s="2">
        <f>HYPERLINK("https://my.zakupki.prom.ua/remote/dispatcher/state_purchase_view/21558925", "UA-2020-11-30-002954-b")</f>
        <v/>
      </c>
      <c r="C656" t="s" s="2">
        <v>3245</v>
      </c>
      <c r="D656" s="2">
        <f>HYPERLINK("https://my.zakupki.prom.ua/remote/dispatcher/state_contracting_view/6570951", "UA-2020-11-30-002954-b-b1")</f>
        <v/>
      </c>
      <c r="E656" t="s" s="1">
        <v>2059</v>
      </c>
      <c r="F656" t="s" s="1">
        <v>3137</v>
      </c>
      <c r="G656" t="s" s="1">
        <v>3137</v>
      </c>
      <c r="H656" t="s" s="1">
        <v>1547</v>
      </c>
      <c r="I656" t="s" s="1">
        <v>2361</v>
      </c>
      <c r="J656" t="s" s="1">
        <v>335</v>
      </c>
      <c r="K656" t="s" s="1">
        <v>195</v>
      </c>
      <c r="L656" t="s" s="1">
        <v>1247</v>
      </c>
      <c r="M656" t="n" s="5">
        <v>437.39</v>
      </c>
      <c r="N656" t="n" s="7">
        <v>44160.0</v>
      </c>
      <c r="O656" t="n" s="7">
        <v>44196.0</v>
      </c>
      <c r="P656" t="s" s="1">
        <v>3499</v>
      </c>
    </row>
    <row r="657" spans="1:16">
      <c r="A657" t="n" s="4">
        <v>652</v>
      </c>
      <c r="B657" s="2">
        <f>HYPERLINK("https://my.zakupki.prom.ua/remote/dispatcher/state_purchase_view/20601105", "UA-2020-10-29-007628-c")</f>
        <v/>
      </c>
      <c r="C657" t="s" s="2">
        <v>3245</v>
      </c>
      <c r="D657" s="2">
        <f>HYPERLINK("https://my.zakupki.prom.ua/remote/dispatcher/state_contracting_view/6119176", "UA-2020-10-29-007628-c-c1")</f>
        <v/>
      </c>
      <c r="E657" t="s" s="1">
        <v>1237</v>
      </c>
      <c r="F657" t="s" s="1">
        <v>2606</v>
      </c>
      <c r="G657" t="s" s="1">
        <v>2606</v>
      </c>
      <c r="H657" t="s" s="1">
        <v>222</v>
      </c>
      <c r="I657" t="s" s="1">
        <v>2361</v>
      </c>
      <c r="J657" t="s" s="1">
        <v>3467</v>
      </c>
      <c r="K657" t="s" s="1">
        <v>766</v>
      </c>
      <c r="L657" t="s" s="1">
        <v>1610</v>
      </c>
      <c r="M657" t="n" s="5">
        <v>285.0</v>
      </c>
      <c r="N657" t="n" s="7">
        <v>44132.0</v>
      </c>
      <c r="O657" t="n" s="7">
        <v>44196.0</v>
      </c>
      <c r="P657" t="s" s="1">
        <v>3499</v>
      </c>
    </row>
    <row r="658" spans="1:16">
      <c r="A658" t="n" s="4">
        <v>653</v>
      </c>
      <c r="B658" s="2">
        <f>HYPERLINK("https://my.zakupki.prom.ua/remote/dispatcher/state_purchase_view/22645307", "UA-2020-12-24-008692-c")</f>
        <v/>
      </c>
      <c r="C658" t="s" s="2">
        <v>3245</v>
      </c>
      <c r="D658" s="2">
        <f>HYPERLINK("https://my.zakupki.prom.ua/remote/dispatcher/state_contracting_view/7088429", "UA-2020-12-24-008692-c-c1")</f>
        <v/>
      </c>
      <c r="E658" t="s" s="1">
        <v>1939</v>
      </c>
      <c r="F658" t="s" s="1">
        <v>2849</v>
      </c>
      <c r="G658" t="s" s="1">
        <v>2288</v>
      </c>
      <c r="H658" t="s" s="1">
        <v>718</v>
      </c>
      <c r="I658" t="s" s="1">
        <v>2361</v>
      </c>
      <c r="J658" t="s" s="1">
        <v>3300</v>
      </c>
      <c r="K658" t="s" s="1">
        <v>593</v>
      </c>
      <c r="L658" t="s" s="1">
        <v>120</v>
      </c>
      <c r="M658" t="n" s="5">
        <v>57471.14</v>
      </c>
      <c r="N658" t="n" s="7">
        <v>44189.0</v>
      </c>
      <c r="O658" t="n" s="7">
        <v>44196.0</v>
      </c>
      <c r="P658" t="s" s="1">
        <v>3499</v>
      </c>
    </row>
    <row r="659" spans="1:16">
      <c r="A659" t="n" s="4">
        <v>654</v>
      </c>
      <c r="B659" s="2">
        <f>HYPERLINK("https://my.zakupki.prom.ua/remote/dispatcher/state_purchase_view/21697761", "UA-2020-12-03-004076-b")</f>
        <v/>
      </c>
      <c r="C659" t="s" s="2">
        <v>3245</v>
      </c>
      <c r="D659" s="2">
        <f>HYPERLINK("https://my.zakupki.prom.ua/remote/dispatcher/state_contracting_view/6633353", "UA-2020-12-03-004076-b-b1")</f>
        <v/>
      </c>
      <c r="E659" t="s" s="1">
        <v>520</v>
      </c>
      <c r="F659" t="s" s="1">
        <v>2595</v>
      </c>
      <c r="G659" t="s" s="1">
        <v>2595</v>
      </c>
      <c r="H659" t="s" s="1">
        <v>221</v>
      </c>
      <c r="I659" t="s" s="1">
        <v>2361</v>
      </c>
      <c r="J659" t="s" s="1">
        <v>3467</v>
      </c>
      <c r="K659" t="s" s="1">
        <v>766</v>
      </c>
      <c r="L659" t="s" s="1">
        <v>1821</v>
      </c>
      <c r="M659" t="n" s="5">
        <v>8440.0</v>
      </c>
      <c r="N659" t="n" s="7">
        <v>44166.0</v>
      </c>
      <c r="O659" t="n" s="7">
        <v>44196.0</v>
      </c>
      <c r="P659" t="s" s="1">
        <v>3499</v>
      </c>
    </row>
    <row r="660" spans="1:16">
      <c r="A660" t="n" s="4">
        <v>655</v>
      </c>
      <c r="B660" s="2">
        <f>HYPERLINK("https://my.zakupki.prom.ua/remote/dispatcher/state_purchase_view/21982536", "UA-2020-12-10-003831-c")</f>
        <v/>
      </c>
      <c r="C660" t="s" s="2">
        <v>3245</v>
      </c>
      <c r="D660" s="2">
        <f>HYPERLINK("https://my.zakupki.prom.ua/remote/dispatcher/state_contracting_view/6766635", "UA-2020-12-10-003831-c-c1")</f>
        <v/>
      </c>
      <c r="E660" t="s" s="1">
        <v>2173</v>
      </c>
      <c r="F660" t="s" s="1">
        <v>3147</v>
      </c>
      <c r="G660" t="s" s="1">
        <v>3147</v>
      </c>
      <c r="H660" t="s" s="1">
        <v>1758</v>
      </c>
      <c r="I660" t="s" s="1">
        <v>2361</v>
      </c>
      <c r="J660" t="s" s="1">
        <v>3390</v>
      </c>
      <c r="K660" t="s" s="1">
        <v>816</v>
      </c>
      <c r="L660" t="s" s="1">
        <v>1773</v>
      </c>
      <c r="M660" t="n" s="5">
        <v>49980.0</v>
      </c>
      <c r="N660" t="n" s="7">
        <v>44172.0</v>
      </c>
      <c r="O660" t="n" s="7">
        <v>44196.0</v>
      </c>
      <c r="P660" t="s" s="1">
        <v>3499</v>
      </c>
    </row>
    <row r="661" spans="1:16">
      <c r="A661" t="n" s="4">
        <v>656</v>
      </c>
      <c r="B661" s="2">
        <f>HYPERLINK("https://my.zakupki.prom.ua/remote/dispatcher/state_purchase_view/21852807", "UA-2020-12-08-000284-c")</f>
        <v/>
      </c>
      <c r="C661" t="s" s="2">
        <v>3245</v>
      </c>
      <c r="D661" s="2">
        <f>HYPERLINK("https://my.zakupki.prom.ua/remote/dispatcher/state_contracting_view/6704612", "UA-2020-12-08-000284-c-c1")</f>
        <v/>
      </c>
      <c r="E661" t="s" s="1">
        <v>2247</v>
      </c>
      <c r="F661" t="s" s="1">
        <v>2736</v>
      </c>
      <c r="G661" t="s" s="1">
        <v>2736</v>
      </c>
      <c r="H661" t="s" s="1">
        <v>688</v>
      </c>
      <c r="I661" t="s" s="1">
        <v>2361</v>
      </c>
      <c r="J661" t="s" s="1">
        <v>2358</v>
      </c>
      <c r="K661" t="s" s="1">
        <v>376</v>
      </c>
      <c r="L661" t="s" s="1">
        <v>1836</v>
      </c>
      <c r="M661" t="n" s="5">
        <v>50000.0</v>
      </c>
      <c r="N661" t="n" s="7">
        <v>44172.0</v>
      </c>
      <c r="O661" t="n" s="7">
        <v>44196.0</v>
      </c>
      <c r="P661" t="s" s="1">
        <v>3499</v>
      </c>
    </row>
    <row r="662" spans="1:16">
      <c r="A662" t="n" s="4">
        <v>657</v>
      </c>
      <c r="B662" s="2">
        <f>HYPERLINK("https://my.zakupki.prom.ua/remote/dispatcher/state_purchase_view/22063757", "UA-2020-12-11-009994-c")</f>
        <v/>
      </c>
      <c r="C662" t="s" s="2">
        <v>3245</v>
      </c>
      <c r="D662" s="2">
        <f>HYPERLINK("https://my.zakupki.prom.ua/remote/dispatcher/state_contracting_view/6805665", "UA-2020-12-11-009994-c-c1")</f>
        <v/>
      </c>
      <c r="E662" t="s" s="1">
        <v>1677</v>
      </c>
      <c r="F662" t="s" s="1">
        <v>2799</v>
      </c>
      <c r="G662" t="s" s="1">
        <v>3559</v>
      </c>
      <c r="H662" t="s" s="1">
        <v>690</v>
      </c>
      <c r="I662" t="s" s="1">
        <v>2361</v>
      </c>
      <c r="J662" t="s" s="1">
        <v>3392</v>
      </c>
      <c r="K662" t="s" s="1">
        <v>428</v>
      </c>
      <c r="L662" t="s" s="1">
        <v>1849</v>
      </c>
      <c r="M662" t="n" s="5">
        <v>4870.0</v>
      </c>
      <c r="N662" t="n" s="7">
        <v>44176.0</v>
      </c>
      <c r="O662" t="n" s="7">
        <v>44196.0</v>
      </c>
      <c r="P662" t="s" s="1">
        <v>3499</v>
      </c>
    </row>
    <row r="663" spans="1:16">
      <c r="A663" t="n" s="4">
        <v>658</v>
      </c>
      <c r="B663" s="2">
        <f>HYPERLINK("https://my.zakupki.prom.ua/remote/dispatcher/state_purchase_view/21141989", "UA-2020-11-17-005763-c")</f>
        <v/>
      </c>
      <c r="C663" t="s" s="2">
        <v>3245</v>
      </c>
      <c r="D663" s="2">
        <f>HYPERLINK("https://my.zakupki.prom.ua/remote/dispatcher/state_contracting_view/6373756", "UA-2020-11-17-005763-c-c1")</f>
        <v/>
      </c>
      <c r="E663" t="s" s="1">
        <v>1172</v>
      </c>
      <c r="F663" t="s" s="1">
        <v>2754</v>
      </c>
      <c r="G663" t="s" s="1">
        <v>2753</v>
      </c>
      <c r="H663" t="s" s="1">
        <v>690</v>
      </c>
      <c r="I663" t="s" s="1">
        <v>2361</v>
      </c>
      <c r="J663" t="s" s="1">
        <v>3403</v>
      </c>
      <c r="K663" t="s" s="1">
        <v>771</v>
      </c>
      <c r="L663" t="s" s="1">
        <v>1725</v>
      </c>
      <c r="M663" t="n" s="5">
        <v>1370.6</v>
      </c>
      <c r="N663" t="n" s="7">
        <v>44152.0</v>
      </c>
      <c r="O663" t="n" s="7">
        <v>44196.0</v>
      </c>
      <c r="P663" t="s" s="1">
        <v>3499</v>
      </c>
    </row>
    <row r="664" spans="1:16">
      <c r="A664" t="n" s="4">
        <v>659</v>
      </c>
      <c r="B664" s="2">
        <f>HYPERLINK("https://my.zakupki.prom.ua/remote/dispatcher/state_purchase_view/14473863", "UA-2020-01-14-001104-c")</f>
        <v/>
      </c>
      <c r="C664" t="s" s="2">
        <v>3245</v>
      </c>
      <c r="D664" s="2">
        <f>HYPERLINK("https://my.zakupki.prom.ua/remote/dispatcher/state_contracting_view/3628245", "UA-2020-01-14-001104-c-c1")</f>
        <v/>
      </c>
      <c r="E664" t="s" s="1">
        <v>96</v>
      </c>
      <c r="F664" t="s" s="1">
        <v>225</v>
      </c>
      <c r="G664" t="s" s="1">
        <v>3535</v>
      </c>
      <c r="H664" t="s" s="1">
        <v>225</v>
      </c>
      <c r="I664" t="s" s="1">
        <v>2361</v>
      </c>
      <c r="J664" t="s" s="1">
        <v>3464</v>
      </c>
      <c r="K664" t="s" s="1">
        <v>351</v>
      </c>
      <c r="L664" t="s" s="1">
        <v>336</v>
      </c>
      <c r="M664" t="n" s="5">
        <v>11700.0</v>
      </c>
      <c r="N664" t="n" s="7">
        <v>43844.0</v>
      </c>
      <c r="O664" t="n" s="7">
        <v>44196.0</v>
      </c>
      <c r="P664" t="s" s="1">
        <v>3499</v>
      </c>
    </row>
    <row r="665" spans="1:16">
      <c r="A665" t="n" s="4">
        <v>660</v>
      </c>
      <c r="B665" s="2">
        <f>HYPERLINK("https://my.zakupki.prom.ua/remote/dispatcher/state_purchase_view/15674370", "UA-2020-03-10-001323-a")</f>
        <v/>
      </c>
      <c r="C665" t="s" s="2">
        <v>3245</v>
      </c>
      <c r="D665" s="2">
        <f>HYPERLINK("https://my.zakupki.prom.ua/remote/dispatcher/state_contracting_view/3911124", "UA-2020-03-10-001323-a-a1")</f>
        <v/>
      </c>
      <c r="E665" t="s" s="1">
        <v>1277</v>
      </c>
      <c r="F665" t="s" s="1">
        <v>3316</v>
      </c>
      <c r="G665" t="s" s="1">
        <v>3316</v>
      </c>
      <c r="H665" t="s" s="1">
        <v>1756</v>
      </c>
      <c r="I665" t="s" s="1">
        <v>2361</v>
      </c>
      <c r="J665" t="s" s="1">
        <v>2372</v>
      </c>
      <c r="K665" t="s" s="1">
        <v>40</v>
      </c>
      <c r="L665" t="s" s="1">
        <v>1036</v>
      </c>
      <c r="M665" t="n" s="5">
        <v>88000.0</v>
      </c>
      <c r="N665" t="n" s="7">
        <v>43900.0</v>
      </c>
      <c r="O665" t="n" s="7">
        <v>44196.0</v>
      </c>
      <c r="P665" t="s" s="1">
        <v>3499</v>
      </c>
    </row>
    <row r="666" spans="1:16">
      <c r="A666" t="n" s="4">
        <v>661</v>
      </c>
      <c r="B666" s="2">
        <f>HYPERLINK("https://my.zakupki.prom.ua/remote/dispatcher/state_purchase_view/15720693", "UA-2020-03-12-001015-b")</f>
        <v/>
      </c>
      <c r="C666" t="s" s="2">
        <v>3245</v>
      </c>
      <c r="D666" s="2">
        <f>HYPERLINK("https://my.zakupki.prom.ua/remote/dispatcher/state_contracting_view/3929568", "UA-2020-03-12-001015-b-b1")</f>
        <v/>
      </c>
      <c r="E666" t="s" s="1">
        <v>92</v>
      </c>
      <c r="F666" t="s" s="1">
        <v>3321</v>
      </c>
      <c r="G666" t="s" s="1">
        <v>3321</v>
      </c>
      <c r="H666" t="s" s="1">
        <v>1146</v>
      </c>
      <c r="I666" t="s" s="1">
        <v>2361</v>
      </c>
      <c r="J666" t="s" s="1">
        <v>2359</v>
      </c>
      <c r="K666" t="s" s="1">
        <v>460</v>
      </c>
      <c r="L666" t="s" s="1">
        <v>1573</v>
      </c>
      <c r="M666" t="n" s="5">
        <v>480.0</v>
      </c>
      <c r="N666" t="n" s="7">
        <v>43902.0</v>
      </c>
      <c r="O666" t="n" s="7">
        <v>44196.0</v>
      </c>
      <c r="P666" t="s" s="1">
        <v>3499</v>
      </c>
    </row>
    <row r="667" spans="1:16">
      <c r="A667" t="n" s="4">
        <v>662</v>
      </c>
      <c r="B667" s="2">
        <f>HYPERLINK("https://my.zakupki.prom.ua/remote/dispatcher/state_purchase_view/15695585", "UA-2020-03-11-001486-b")</f>
        <v/>
      </c>
      <c r="C667" t="s" s="2">
        <v>3245</v>
      </c>
      <c r="D667" s="2">
        <f>HYPERLINK("https://my.zakupki.prom.ua/remote/dispatcher/state_contracting_view/3917752", "UA-2020-03-11-001486-b-b1")</f>
        <v/>
      </c>
      <c r="E667" t="s" s="1">
        <v>1709</v>
      </c>
      <c r="F667" t="s" s="1">
        <v>2350</v>
      </c>
      <c r="G667" t="s" s="1">
        <v>2350</v>
      </c>
      <c r="H667" t="s" s="1">
        <v>875</v>
      </c>
      <c r="I667" t="s" s="1">
        <v>2361</v>
      </c>
      <c r="J667" t="s" s="1">
        <v>3417</v>
      </c>
      <c r="K667" t="s" s="1">
        <v>950</v>
      </c>
      <c r="L667" t="s" s="1">
        <v>3203</v>
      </c>
      <c r="M667" t="n" s="5">
        <v>4740.0</v>
      </c>
      <c r="N667" t="n" s="7">
        <v>43901.0</v>
      </c>
      <c r="O667" t="n" s="7">
        <v>44196.0</v>
      </c>
      <c r="P667" t="s" s="1">
        <v>3499</v>
      </c>
    </row>
    <row r="668" spans="1:16">
      <c r="A668" t="n" s="4">
        <v>663</v>
      </c>
      <c r="B668" s="2">
        <f>HYPERLINK("https://my.zakupki.prom.ua/remote/dispatcher/state_purchase_view/15893180", "UA-2020-03-20-004719-b")</f>
        <v/>
      </c>
      <c r="C668" t="s" s="2">
        <v>3245</v>
      </c>
      <c r="D668" s="2">
        <f>HYPERLINK("https://my.zakupki.prom.ua/remote/dispatcher/state_contracting_view/3978867", "UA-2020-03-20-004719-b-b1")</f>
        <v/>
      </c>
      <c r="E668" t="s" s="1">
        <v>2250</v>
      </c>
      <c r="F668" t="s" s="1">
        <v>2346</v>
      </c>
      <c r="G668" t="s" s="1">
        <v>2346</v>
      </c>
      <c r="H668" t="s" s="1">
        <v>445</v>
      </c>
      <c r="I668" t="s" s="1">
        <v>2361</v>
      </c>
      <c r="J668" t="s" s="1">
        <v>3417</v>
      </c>
      <c r="K668" t="s" s="1">
        <v>950</v>
      </c>
      <c r="L668" t="s" s="1">
        <v>3173</v>
      </c>
      <c r="M668" t="n" s="5">
        <v>3048.0</v>
      </c>
      <c r="N668" t="n" s="7">
        <v>43910.0</v>
      </c>
      <c r="O668" t="n" s="7">
        <v>44196.0</v>
      </c>
      <c r="P668" t="s" s="1">
        <v>3499</v>
      </c>
    </row>
    <row r="669" spans="1:16">
      <c r="A669" t="n" s="4">
        <v>664</v>
      </c>
      <c r="B669" s="2">
        <f>HYPERLINK("https://my.zakupki.prom.ua/remote/dispatcher/state_purchase_view/15226412", "UA-2020-02-11-003948-b")</f>
        <v/>
      </c>
      <c r="C669" t="s" s="2">
        <v>3245</v>
      </c>
      <c r="D669" s="2">
        <f>HYPERLINK("https://my.zakupki.prom.ua/remote/dispatcher/state_contracting_view/3784108", "UA-2020-02-11-003948-b-b1")</f>
        <v/>
      </c>
      <c r="E669" t="s" s="1">
        <v>1982</v>
      </c>
      <c r="F669" t="s" s="1">
        <v>729</v>
      </c>
      <c r="G669" t="s" s="1">
        <v>729</v>
      </c>
      <c r="H669" t="s" s="1">
        <v>729</v>
      </c>
      <c r="I669" t="s" s="1">
        <v>2361</v>
      </c>
      <c r="J669" t="s" s="1">
        <v>3402</v>
      </c>
      <c r="K669" t="s" s="1">
        <v>375</v>
      </c>
      <c r="L669" t="s" s="1">
        <v>148</v>
      </c>
      <c r="M669" t="n" s="5">
        <v>5979.82</v>
      </c>
      <c r="N669" t="n" s="7">
        <v>43872.0</v>
      </c>
      <c r="O669" t="n" s="7">
        <v>44196.0</v>
      </c>
      <c r="P669" t="s" s="1">
        <v>3499</v>
      </c>
    </row>
    <row r="670" spans="1:16">
      <c r="A670" t="n" s="4">
        <v>665</v>
      </c>
      <c r="B670" s="2">
        <f>HYPERLINK("https://my.zakupki.prom.ua/remote/dispatcher/state_purchase_view/21590763", "UA-2020-12-01-001620-b")</f>
        <v/>
      </c>
      <c r="C670" t="s" s="2">
        <v>3245</v>
      </c>
      <c r="D670" s="2">
        <f>HYPERLINK("https://my.zakupki.prom.ua/remote/dispatcher/state_contracting_view/6583296", "UA-2020-12-01-001620-b-b1")</f>
        <v/>
      </c>
      <c r="E670" t="s" s="1">
        <v>1471</v>
      </c>
      <c r="F670" t="s" s="1">
        <v>3150</v>
      </c>
      <c r="G670" t="s" s="1">
        <v>3150</v>
      </c>
      <c r="H670" t="s" s="1">
        <v>1762</v>
      </c>
      <c r="I670" t="s" s="1">
        <v>2361</v>
      </c>
      <c r="J670" t="s" s="1">
        <v>3395</v>
      </c>
      <c r="K670" t="s" s="1">
        <v>994</v>
      </c>
      <c r="L670" t="s" s="1">
        <v>946</v>
      </c>
      <c r="M670" t="n" s="5">
        <v>45000.0</v>
      </c>
      <c r="N670" t="n" s="7">
        <v>44166.0</v>
      </c>
      <c r="O670" t="n" s="7">
        <v>44196.0</v>
      </c>
      <c r="P670" t="s" s="1">
        <v>3499</v>
      </c>
    </row>
    <row r="671" spans="1:16">
      <c r="A671" t="n" s="4">
        <v>666</v>
      </c>
      <c r="B671" s="2">
        <f>HYPERLINK("https://my.zakupki.prom.ua/remote/dispatcher/state_purchase_view/22466031", "UA-2020-12-21-014420-c")</f>
        <v/>
      </c>
      <c r="C671" t="s" s="2">
        <v>3245</v>
      </c>
      <c r="D671" s="2">
        <f>HYPERLINK("https://my.zakupki.prom.ua/remote/dispatcher/state_contracting_view/6999339", "UA-2020-12-21-014420-c-c1")</f>
        <v/>
      </c>
      <c r="E671" t="s" s="1">
        <v>1859</v>
      </c>
      <c r="F671" t="s" s="1">
        <v>3084</v>
      </c>
      <c r="G671" t="s" s="1">
        <v>3084</v>
      </c>
      <c r="H671" t="s" s="1">
        <v>1040</v>
      </c>
      <c r="I671" t="s" s="1">
        <v>2361</v>
      </c>
      <c r="J671" t="s" s="1">
        <v>3387</v>
      </c>
      <c r="K671" t="s" s="1">
        <v>674</v>
      </c>
      <c r="L671" t="s" s="1">
        <v>15</v>
      </c>
      <c r="M671" t="n" s="5">
        <v>27789.6</v>
      </c>
      <c r="N671" t="n" s="7">
        <v>44181.0</v>
      </c>
      <c r="O671" t="n" s="7">
        <v>44196.0</v>
      </c>
      <c r="P671" t="s" s="1">
        <v>3499</v>
      </c>
    </row>
    <row r="672" spans="1:16">
      <c r="A672" t="n" s="4">
        <v>667</v>
      </c>
      <c r="B672" s="2">
        <f>HYPERLINK("https://my.zakupki.prom.ua/remote/dispatcher/state_purchase_view/21726046", "UA-2020-12-03-011800-b")</f>
        <v/>
      </c>
      <c r="C672" t="s" s="2">
        <v>3245</v>
      </c>
      <c r="D672" s="2">
        <f>HYPERLINK("https://my.zakupki.prom.ua/remote/dispatcher/state_contracting_view/6646068", "UA-2020-12-03-011800-b-b1")</f>
        <v/>
      </c>
      <c r="E672" t="s" s="1">
        <v>1320</v>
      </c>
      <c r="F672" t="s" s="1">
        <v>3021</v>
      </c>
      <c r="G672" t="s" s="1">
        <v>3021</v>
      </c>
      <c r="H672" t="s" s="1">
        <v>861</v>
      </c>
      <c r="I672" t="s" s="1">
        <v>2361</v>
      </c>
      <c r="J672" t="s" s="1">
        <v>3439</v>
      </c>
      <c r="K672" t="s" s="1">
        <v>638</v>
      </c>
      <c r="L672" t="s" s="1">
        <v>1827</v>
      </c>
      <c r="M672" t="n" s="5">
        <v>20000.0</v>
      </c>
      <c r="N672" t="n" s="7">
        <v>44168.0</v>
      </c>
      <c r="O672" t="n" s="7">
        <v>44196.0</v>
      </c>
      <c r="P672" t="s" s="1">
        <v>3499</v>
      </c>
    </row>
    <row r="673" spans="1:16">
      <c r="A673" t="n" s="4">
        <v>668</v>
      </c>
      <c r="B673" s="2">
        <f>HYPERLINK("https://my.zakupki.prom.ua/remote/dispatcher/state_purchase_view/21700633", "UA-2020-12-03-004875-b")</f>
        <v/>
      </c>
      <c r="C673" t="s" s="2">
        <v>3245</v>
      </c>
      <c r="D673" s="2">
        <f>HYPERLINK("https://my.zakupki.prom.ua/remote/dispatcher/state_contracting_view/6634615", "UA-2020-12-03-004875-b-b1")</f>
        <v/>
      </c>
      <c r="E673" t="s" s="1">
        <v>1463</v>
      </c>
      <c r="F673" t="s" s="1">
        <v>2555</v>
      </c>
      <c r="G673" t="s" s="1">
        <v>2555</v>
      </c>
      <c r="H673" t="s" s="1">
        <v>213</v>
      </c>
      <c r="I673" t="s" s="1">
        <v>2361</v>
      </c>
      <c r="J673" t="s" s="1">
        <v>3467</v>
      </c>
      <c r="K673" t="s" s="1">
        <v>766</v>
      </c>
      <c r="L673" t="s" s="1">
        <v>1826</v>
      </c>
      <c r="M673" t="n" s="5">
        <v>4350.0</v>
      </c>
      <c r="N673" t="n" s="7">
        <v>44166.0</v>
      </c>
      <c r="O673" t="n" s="7">
        <v>44196.0</v>
      </c>
      <c r="P673" t="s" s="1">
        <v>3499</v>
      </c>
    </row>
    <row r="674" spans="1:16">
      <c r="A674" t="n" s="4">
        <v>669</v>
      </c>
      <c r="B674" s="2">
        <f>HYPERLINK("https://my.zakupki.prom.ua/remote/dispatcher/state_purchase_view/22651679", "UA-2020-12-24-010663-c")</f>
        <v/>
      </c>
      <c r="C674" t="s" s="2">
        <v>3245</v>
      </c>
      <c r="D674" s="2">
        <f>HYPERLINK("https://my.zakupki.prom.ua/remote/dispatcher/state_contracting_view/7091863", "UA-2020-12-24-010663-c-c1")</f>
        <v/>
      </c>
      <c r="E674" t="s" s="1">
        <v>1593</v>
      </c>
      <c r="F674" t="s" s="1">
        <v>2800</v>
      </c>
      <c r="G674" t="s" s="1">
        <v>2800</v>
      </c>
      <c r="H674" t="s" s="1">
        <v>690</v>
      </c>
      <c r="I674" t="s" s="1">
        <v>2361</v>
      </c>
      <c r="J674" t="s" s="1">
        <v>3300</v>
      </c>
      <c r="K674" t="s" s="1">
        <v>593</v>
      </c>
      <c r="L674" t="s" s="1">
        <v>121</v>
      </c>
      <c r="M674" t="n" s="5">
        <v>1717.9</v>
      </c>
      <c r="N674" t="n" s="7">
        <v>44189.0</v>
      </c>
      <c r="O674" t="n" s="7">
        <v>44196.0</v>
      </c>
      <c r="P674" t="s" s="1">
        <v>3499</v>
      </c>
    </row>
    <row r="675" spans="1:16">
      <c r="A675" t="n" s="4">
        <v>670</v>
      </c>
      <c r="B675" s="2">
        <f>HYPERLINK("https://my.zakupki.prom.ua/remote/dispatcher/state_purchase_view/21740762", "UA-2020-12-04-000891-b")</f>
        <v/>
      </c>
      <c r="C675" t="s" s="2">
        <v>3245</v>
      </c>
      <c r="D675" s="2">
        <f>HYPERLINK("https://my.zakupki.prom.ua/remote/dispatcher/state_contracting_view/6653202", "UA-2020-12-04-000891-b-b1")</f>
        <v/>
      </c>
      <c r="E675" t="s" s="1">
        <v>2186</v>
      </c>
      <c r="F675" t="s" s="1">
        <v>3116</v>
      </c>
      <c r="G675" t="s" s="1">
        <v>3116</v>
      </c>
      <c r="H675" t="s" s="1">
        <v>1493</v>
      </c>
      <c r="I675" t="s" s="1">
        <v>2361</v>
      </c>
      <c r="J675" t="s" s="1">
        <v>3298</v>
      </c>
      <c r="K675" t="s" s="1">
        <v>395</v>
      </c>
      <c r="L675" t="s" s="1">
        <v>1830</v>
      </c>
      <c r="M675" t="n" s="5">
        <v>7012.0</v>
      </c>
      <c r="N675" t="n" s="7">
        <v>44168.0</v>
      </c>
      <c r="O675" t="n" s="7">
        <v>44196.0</v>
      </c>
      <c r="P675" t="s" s="1">
        <v>3499</v>
      </c>
    </row>
    <row r="676" spans="1:16">
      <c r="A676" t="n" s="4">
        <v>671</v>
      </c>
      <c r="B676" s="2">
        <f>HYPERLINK("https://my.zakupki.prom.ua/remote/dispatcher/state_purchase_view/21312234", "UA-2020-11-23-000286-c")</f>
        <v/>
      </c>
      <c r="C676" t="s" s="2">
        <v>3245</v>
      </c>
      <c r="D676" s="2">
        <f>HYPERLINK("https://my.zakupki.prom.ua/remote/dispatcher/state_contracting_view/6452492", "UA-2020-11-23-000286-c-c1")</f>
        <v/>
      </c>
      <c r="E676" t="s" s="1">
        <v>1737</v>
      </c>
      <c r="F676" t="s" s="1">
        <v>2663</v>
      </c>
      <c r="G676" t="s" s="1">
        <v>3500</v>
      </c>
      <c r="H676" t="s" s="1">
        <v>445</v>
      </c>
      <c r="I676" t="s" s="1">
        <v>2361</v>
      </c>
      <c r="J676" t="s" s="1">
        <v>3385</v>
      </c>
      <c r="K676" t="s" s="1">
        <v>969</v>
      </c>
      <c r="L676" t="s" s="1">
        <v>3201</v>
      </c>
      <c r="M676" t="n" s="5">
        <v>6036.0</v>
      </c>
      <c r="N676" t="n" s="7">
        <v>44158.0</v>
      </c>
      <c r="O676" t="n" s="7">
        <v>44196.0</v>
      </c>
      <c r="P676" t="s" s="1">
        <v>3499</v>
      </c>
    </row>
    <row r="677" spans="1:16">
      <c r="A677" t="n" s="4">
        <v>672</v>
      </c>
      <c r="B677" s="2">
        <f>HYPERLINK("https://my.zakupki.prom.ua/remote/dispatcher/state_purchase_view/22770983", "UA-2020-12-29-006768-a")</f>
        <v/>
      </c>
      <c r="C677" t="s" s="2">
        <v>3245</v>
      </c>
      <c r="D677" s="2">
        <f>HYPERLINK("https://my.zakupki.prom.ua/remote/dispatcher/state_contracting_view/7148997", "UA-2020-12-29-006768-a-a1")</f>
        <v/>
      </c>
      <c r="E677" t="s" s="1">
        <v>1283</v>
      </c>
      <c r="F677" t="s" s="1">
        <v>2961</v>
      </c>
      <c r="G677" t="s" s="1">
        <v>2961</v>
      </c>
      <c r="H677" t="s" s="1">
        <v>738</v>
      </c>
      <c r="I677" t="s" s="1">
        <v>2361</v>
      </c>
      <c r="J677" t="s" s="1">
        <v>3467</v>
      </c>
      <c r="K677" t="s" s="1">
        <v>766</v>
      </c>
      <c r="L677" t="s" s="1">
        <v>130</v>
      </c>
      <c r="M677" t="n" s="5">
        <v>4414.0</v>
      </c>
      <c r="N677" t="n" s="7">
        <v>44193.0</v>
      </c>
      <c r="O677" t="n" s="7">
        <v>44196.0</v>
      </c>
      <c r="P677" t="s" s="1">
        <v>3499</v>
      </c>
    </row>
    <row r="678" spans="1:16">
      <c r="A678" t="n" s="4">
        <v>673</v>
      </c>
      <c r="B678" s="2">
        <f>HYPERLINK("https://my.zakupki.prom.ua/remote/dispatcher/state_purchase_view/22099481", "UA-2020-12-14-001226-c")</f>
        <v/>
      </c>
      <c r="C678" t="s" s="2">
        <v>3245</v>
      </c>
      <c r="D678" s="2">
        <f>HYPERLINK("https://my.zakupki.prom.ua/remote/dispatcher/state_contracting_view/6822465", "UA-2020-12-14-001226-c-c1")</f>
        <v/>
      </c>
      <c r="E678" t="s" s="1">
        <v>2207</v>
      </c>
      <c r="F678" t="s" s="1">
        <v>2688</v>
      </c>
      <c r="G678" t="s" s="1">
        <v>2688</v>
      </c>
      <c r="H678" t="s" s="1">
        <v>590</v>
      </c>
      <c r="I678" t="s" s="1">
        <v>2361</v>
      </c>
      <c r="J678" t="s" s="1">
        <v>3384</v>
      </c>
      <c r="K678" t="s" s="1">
        <v>930</v>
      </c>
      <c r="L678" t="s" s="1">
        <v>110</v>
      </c>
      <c r="M678" t="n" s="5">
        <v>2214.0</v>
      </c>
      <c r="N678" t="n" s="7">
        <v>44179.0</v>
      </c>
      <c r="O678" t="n" s="7">
        <v>44196.0</v>
      </c>
      <c r="P678" t="s" s="1">
        <v>3499</v>
      </c>
    </row>
    <row r="679" spans="1:16">
      <c r="A679" t="n" s="4">
        <v>674</v>
      </c>
      <c r="B679" s="2">
        <f>HYPERLINK("https://my.zakupki.prom.ua/remote/dispatcher/state_purchase_view/22107382", "UA-2020-12-14-003340-c")</f>
        <v/>
      </c>
      <c r="C679" t="s" s="2">
        <v>3245</v>
      </c>
      <c r="D679" s="2">
        <f>HYPERLINK("https://my.zakupki.prom.ua/remote/dispatcher/state_contracting_view/6826409", "UA-2020-12-14-003340-c-c1")</f>
        <v/>
      </c>
      <c r="E679" t="s" s="1">
        <v>2111</v>
      </c>
      <c r="F679" t="s" s="1">
        <v>2797</v>
      </c>
      <c r="G679" t="s" s="1">
        <v>3542</v>
      </c>
      <c r="H679" t="s" s="1">
        <v>690</v>
      </c>
      <c r="I679" t="s" s="1">
        <v>2361</v>
      </c>
      <c r="J679" t="s" s="1">
        <v>3403</v>
      </c>
      <c r="K679" t="s" s="1">
        <v>771</v>
      </c>
      <c r="L679" t="s" s="1">
        <v>1856</v>
      </c>
      <c r="M679" t="n" s="5">
        <v>26535.0</v>
      </c>
      <c r="N679" t="n" s="7">
        <v>44179.0</v>
      </c>
      <c r="O679" t="n" s="7">
        <v>44196.0</v>
      </c>
      <c r="P679" t="s" s="1">
        <v>3499</v>
      </c>
    </row>
    <row r="680" spans="1:16">
      <c r="A680" t="n" s="4">
        <v>675</v>
      </c>
      <c r="B680" s="2">
        <f>HYPERLINK("https://my.zakupki.prom.ua/remote/dispatcher/state_purchase_view/20881811", "UA-2020-11-09-002981-c")</f>
        <v/>
      </c>
      <c r="C680" t="s" s="2">
        <v>3245</v>
      </c>
      <c r="D680" s="2">
        <f>HYPERLINK("https://my.zakupki.prom.ua/remote/dispatcher/state_contracting_view/6252089", "UA-2020-11-09-002981-c-c1")</f>
        <v/>
      </c>
      <c r="E680" t="s" s="1">
        <v>519</v>
      </c>
      <c r="F680" t="s" s="1">
        <v>3065</v>
      </c>
      <c r="G680" t="s" s="1">
        <v>3065</v>
      </c>
      <c r="H680" t="s" s="1">
        <v>1020</v>
      </c>
      <c r="I680" t="s" s="1">
        <v>2361</v>
      </c>
      <c r="J680" t="s" s="1">
        <v>3251</v>
      </c>
      <c r="K680" t="s" s="1">
        <v>486</v>
      </c>
      <c r="L680" t="s" s="1">
        <v>3287</v>
      </c>
      <c r="M680" t="n" s="5">
        <v>300.0</v>
      </c>
      <c r="N680" t="n" s="7">
        <v>44144.0</v>
      </c>
      <c r="O680" t="n" s="7">
        <v>44196.0</v>
      </c>
      <c r="P680" t="s" s="1">
        <v>3499</v>
      </c>
    </row>
    <row r="681" spans="1:16">
      <c r="A681" t="n" s="4">
        <v>676</v>
      </c>
      <c r="B681" s="2">
        <f>HYPERLINK("https://my.zakupki.prom.ua/remote/dispatcher/state_purchase_view/20743400", "UA-2020-11-04-005435-c")</f>
        <v/>
      </c>
      <c r="C681" t="s" s="2">
        <v>3245</v>
      </c>
      <c r="D681" s="2">
        <f>HYPERLINK("https://my.zakupki.prom.ua/remote/dispatcher/state_contracting_view/6185578", "UA-2020-11-04-005435-c-c1")</f>
        <v/>
      </c>
      <c r="E681" t="s" s="1">
        <v>1611</v>
      </c>
      <c r="F681" t="s" s="1">
        <v>3056</v>
      </c>
      <c r="G681" t="s" s="1">
        <v>3056</v>
      </c>
      <c r="H681" t="s" s="1">
        <v>1014</v>
      </c>
      <c r="I681" t="s" s="1">
        <v>2361</v>
      </c>
      <c r="J681" t="s" s="1">
        <v>2360</v>
      </c>
      <c r="K681" t="s" s="1">
        <v>508</v>
      </c>
      <c r="L681" t="s" s="1">
        <v>1639</v>
      </c>
      <c r="M681" t="n" s="5">
        <v>2069.0</v>
      </c>
      <c r="N681" t="n" s="7">
        <v>44139.0</v>
      </c>
      <c r="O681" t="n" s="7">
        <v>44196.0</v>
      </c>
      <c r="P681" t="s" s="1">
        <v>3499</v>
      </c>
    </row>
    <row r="682" spans="1:16">
      <c r="A682" t="n" s="4">
        <v>677</v>
      </c>
      <c r="B682" s="2">
        <f>HYPERLINK("https://my.zakupki.prom.ua/remote/dispatcher/state_purchase_view/21149898", "UA-2020-11-17-007988-c")</f>
        <v/>
      </c>
      <c r="C682" t="s" s="2">
        <v>3245</v>
      </c>
      <c r="D682" s="2">
        <f>HYPERLINK("https://my.zakupki.prom.ua/remote/dispatcher/state_contracting_view/6377520", "UA-2020-11-17-007988-c-c1")</f>
        <v/>
      </c>
      <c r="E682" t="s" s="1">
        <v>1700</v>
      </c>
      <c r="F682" t="s" s="1">
        <v>2987</v>
      </c>
      <c r="G682" t="s" s="1">
        <v>2987</v>
      </c>
      <c r="H682" t="s" s="1">
        <v>845</v>
      </c>
      <c r="I682" t="s" s="1">
        <v>2361</v>
      </c>
      <c r="J682" t="s" s="1">
        <v>2377</v>
      </c>
      <c r="K682" t="s" s="1">
        <v>616</v>
      </c>
      <c r="L682" t="s" s="1">
        <v>14</v>
      </c>
      <c r="M682" t="n" s="5">
        <v>7856.0</v>
      </c>
      <c r="N682" t="n" s="7">
        <v>44152.0</v>
      </c>
      <c r="O682" t="n" s="7">
        <v>44196.0</v>
      </c>
      <c r="P682" t="s" s="1">
        <v>3499</v>
      </c>
    </row>
    <row r="683" spans="1:16">
      <c r="A683" t="n" s="4">
        <v>678</v>
      </c>
      <c r="B683" s="2">
        <f>HYPERLINK("https://my.zakupki.prom.ua/remote/dispatcher/state_purchase_view/20109607", "UA-2020-10-15-003055-c")</f>
        <v/>
      </c>
      <c r="C683" t="s" s="2">
        <v>3245</v>
      </c>
      <c r="D683" s="2">
        <f>HYPERLINK("https://my.zakupki.prom.ua/remote/dispatcher/state_contracting_view/5879849", "UA-2020-10-15-003055-c-c1")</f>
        <v/>
      </c>
      <c r="E683" t="s" s="1">
        <v>81</v>
      </c>
      <c r="F683" t="s" s="1">
        <v>2564</v>
      </c>
      <c r="G683" t="s" s="1">
        <v>2564</v>
      </c>
      <c r="H683" t="s" s="1">
        <v>216</v>
      </c>
      <c r="I683" t="s" s="1">
        <v>2361</v>
      </c>
      <c r="J683" t="s" s="1">
        <v>3467</v>
      </c>
      <c r="K683" t="s" s="1">
        <v>766</v>
      </c>
      <c r="L683" t="s" s="1">
        <v>1522</v>
      </c>
      <c r="M683" t="n" s="5">
        <v>1050.0</v>
      </c>
      <c r="N683" t="n" s="7">
        <v>44116.0</v>
      </c>
      <c r="O683" t="n" s="7">
        <v>44196.0</v>
      </c>
      <c r="P683" t="s" s="1">
        <v>3499</v>
      </c>
    </row>
    <row r="684" spans="1:16">
      <c r="A684" t="n" s="4">
        <v>679</v>
      </c>
      <c r="B684" s="2">
        <f>HYPERLINK("https://my.zakupki.prom.ua/remote/dispatcher/state_purchase_view/20111351", "UA-2020-10-15-003571-c")</f>
        <v/>
      </c>
      <c r="C684" t="s" s="2">
        <v>3245</v>
      </c>
      <c r="D684" s="2">
        <f>HYPERLINK("https://my.zakupki.prom.ua/remote/dispatcher/state_contracting_view/5880485", "UA-2020-10-15-003571-c-c1")</f>
        <v/>
      </c>
      <c r="E684" t="s" s="1">
        <v>784</v>
      </c>
      <c r="F684" t="s" s="1">
        <v>2594</v>
      </c>
      <c r="G684" t="s" s="1">
        <v>2594</v>
      </c>
      <c r="H684" t="s" s="1">
        <v>221</v>
      </c>
      <c r="I684" t="s" s="1">
        <v>2361</v>
      </c>
      <c r="J684" t="s" s="1">
        <v>3467</v>
      </c>
      <c r="K684" t="s" s="1">
        <v>766</v>
      </c>
      <c r="L684" t="s" s="1">
        <v>1527</v>
      </c>
      <c r="M684" t="n" s="5">
        <v>5838.0</v>
      </c>
      <c r="N684" t="n" s="7">
        <v>44116.0</v>
      </c>
      <c r="O684" t="n" s="7">
        <v>44196.0</v>
      </c>
      <c r="P684" t="s" s="1">
        <v>3499</v>
      </c>
    </row>
    <row r="685" spans="1:16">
      <c r="A685" t="n" s="4">
        <v>680</v>
      </c>
      <c r="B685" s="2">
        <f>HYPERLINK("https://my.zakupki.prom.ua/remote/dispatcher/state_purchase_view/20577362", "UA-2020-10-29-001280-c")</f>
        <v/>
      </c>
      <c r="C685" t="s" s="2">
        <v>3245</v>
      </c>
      <c r="D685" s="2">
        <f>HYPERLINK("https://my.zakupki.prom.ua/remote/dispatcher/state_contracting_view/6109410", "UA-2020-10-29-001280-c-c1")</f>
        <v/>
      </c>
      <c r="E685" t="s" s="1">
        <v>2044</v>
      </c>
      <c r="F685" t="s" s="1">
        <v>3008</v>
      </c>
      <c r="G685" t="s" s="1">
        <v>3008</v>
      </c>
      <c r="H685" t="s" s="1">
        <v>850</v>
      </c>
      <c r="I685" t="s" s="1">
        <v>2361</v>
      </c>
      <c r="J685" t="s" s="1">
        <v>3251</v>
      </c>
      <c r="K685" t="s" s="1">
        <v>486</v>
      </c>
      <c r="L685" t="s" s="1">
        <v>3290</v>
      </c>
      <c r="M685" t="n" s="5">
        <v>1162.85</v>
      </c>
      <c r="N685" t="n" s="7">
        <v>44133.0</v>
      </c>
      <c r="O685" t="n" s="7">
        <v>44196.0</v>
      </c>
      <c r="P685" t="s" s="1">
        <v>3499</v>
      </c>
    </row>
    <row r="686" spans="1:16">
      <c r="A686" t="n" s="4">
        <v>681</v>
      </c>
      <c r="B686" s="2">
        <f>HYPERLINK("https://my.zakupki.prom.ua/remote/dispatcher/state_purchase_view/16490138", "UA-2020-04-28-001060-b")</f>
        <v/>
      </c>
      <c r="C686" t="s" s="2">
        <v>3245</v>
      </c>
      <c r="D686" s="2">
        <f>HYPERLINK("https://my.zakupki.prom.ua/remote/dispatcher/state_contracting_view/4198149", "UA-2020-04-28-001060-b-b1")</f>
        <v/>
      </c>
      <c r="E686" t="s" s="1">
        <v>2006</v>
      </c>
      <c r="F686" t="s" s="1">
        <v>1309</v>
      </c>
      <c r="G686" t="s" s="1">
        <v>1309</v>
      </c>
      <c r="H686" t="s" s="1">
        <v>1307</v>
      </c>
      <c r="I686" t="s" s="1">
        <v>2361</v>
      </c>
      <c r="J686" t="s" s="1">
        <v>3388</v>
      </c>
      <c r="K686" t="s" s="1">
        <v>632</v>
      </c>
      <c r="L686" t="s" s="1">
        <v>1434</v>
      </c>
      <c r="M686" t="n" s="5">
        <v>882.0</v>
      </c>
      <c r="N686" t="n" s="7">
        <v>43945.0</v>
      </c>
      <c r="O686" t="n" s="7">
        <v>44196.0</v>
      </c>
      <c r="P686" t="s" s="1">
        <v>3499</v>
      </c>
    </row>
    <row r="687" spans="1:16">
      <c r="A687" t="n" s="4">
        <v>682</v>
      </c>
      <c r="B687" s="2">
        <f>HYPERLINK("https://my.zakupki.prom.ua/remote/dispatcher/state_purchase_view/14752737", "UA-2020-01-23-001796-a")</f>
        <v/>
      </c>
      <c r="C687" t="s" s="2">
        <v>3245</v>
      </c>
      <c r="D687" s="2">
        <f>HYPERLINK("https://my.zakupki.prom.ua/remote/dispatcher/state_contracting_view/3672983", "UA-2020-01-23-001796-a-a1")</f>
        <v/>
      </c>
      <c r="E687" t="s" s="1">
        <v>599</v>
      </c>
      <c r="F687" t="s" s="1">
        <v>1758</v>
      </c>
      <c r="G687" t="s" s="1">
        <v>3319</v>
      </c>
      <c r="H687" t="s" s="1">
        <v>1758</v>
      </c>
      <c r="I687" t="s" s="1">
        <v>2361</v>
      </c>
      <c r="J687" t="s" s="1">
        <v>2368</v>
      </c>
      <c r="K687" t="s" s="1">
        <v>504</v>
      </c>
      <c r="L687" t="s" s="1">
        <v>172</v>
      </c>
      <c r="M687" t="n" s="5">
        <v>28320.0</v>
      </c>
      <c r="N687" t="n" s="7">
        <v>43853.0</v>
      </c>
      <c r="O687" t="n" s="7">
        <v>44196.0</v>
      </c>
      <c r="P687" t="s" s="1">
        <v>3499</v>
      </c>
    </row>
    <row r="688" spans="1:16">
      <c r="A688" t="n" s="4">
        <v>683</v>
      </c>
      <c r="B688" s="2">
        <f>HYPERLINK("https://my.zakupki.prom.ua/remote/dispatcher/state_purchase_view/16752265", "UA-2020-05-19-005995-c")</f>
        <v/>
      </c>
      <c r="C688" t="s" s="2">
        <v>3245</v>
      </c>
      <c r="D688" s="2">
        <f>HYPERLINK("https://my.zakupki.prom.ua/remote/dispatcher/state_contracting_view/4310589", "UA-2020-05-19-005995-c-c1")</f>
        <v/>
      </c>
      <c r="E688" t="s" s="1">
        <v>1999</v>
      </c>
      <c r="F688" t="s" s="1">
        <v>2441</v>
      </c>
      <c r="G688" t="s" s="1">
        <v>2328</v>
      </c>
      <c r="H688" t="s" s="1">
        <v>703</v>
      </c>
      <c r="I688" t="s" s="1">
        <v>2361</v>
      </c>
      <c r="J688" t="s" s="1">
        <v>3349</v>
      </c>
      <c r="K688" t="s" s="1">
        <v>183</v>
      </c>
      <c r="L688" t="s" s="1">
        <v>206</v>
      </c>
      <c r="M688" t="n" s="5">
        <v>3897.02</v>
      </c>
      <c r="N688" t="n" s="7">
        <v>43969.0</v>
      </c>
      <c r="O688" t="n" s="7">
        <v>44196.0</v>
      </c>
      <c r="P688" t="s" s="1">
        <v>3499</v>
      </c>
    </row>
    <row r="689" spans="1:16">
      <c r="A689" t="n" s="4">
        <v>684</v>
      </c>
      <c r="B689" s="2">
        <f>HYPERLINK("https://my.zakupki.prom.ua/remote/dispatcher/state_purchase_view/16324280", "UA-2020-04-16-000623-b")</f>
        <v/>
      </c>
      <c r="C689" t="s" s="2">
        <v>3245</v>
      </c>
      <c r="D689" s="2">
        <f>HYPERLINK("https://my.zakupki.prom.ua/remote/dispatcher/state_contracting_view/4128432", "UA-2020-04-16-000623-b-b1")</f>
        <v/>
      </c>
      <c r="E689" t="s" s="1">
        <v>1745</v>
      </c>
      <c r="F689" t="s" s="1">
        <v>706</v>
      </c>
      <c r="G689" t="s" s="1">
        <v>706</v>
      </c>
      <c r="H689" t="s" s="1">
        <v>703</v>
      </c>
      <c r="I689" t="s" s="1">
        <v>2361</v>
      </c>
      <c r="J689" t="s" s="1">
        <v>3392</v>
      </c>
      <c r="K689" t="s" s="1">
        <v>428</v>
      </c>
      <c r="L689" t="s" s="1">
        <v>153</v>
      </c>
      <c r="M689" t="n" s="5">
        <v>15570.0</v>
      </c>
      <c r="N689" t="n" s="7">
        <v>43936.0</v>
      </c>
      <c r="O689" t="n" s="7">
        <v>44196.0</v>
      </c>
      <c r="P689" t="s" s="1">
        <v>3499</v>
      </c>
    </row>
    <row r="690" spans="1:16">
      <c r="A690" t="n" s="4">
        <v>685</v>
      </c>
      <c r="B690" s="2">
        <f>HYPERLINK("https://my.zakupki.prom.ua/remote/dispatcher/state_purchase_view/18421759", "UA-2020-08-10-003012-a")</f>
        <v/>
      </c>
      <c r="C690" t="s" s="2">
        <v>3245</v>
      </c>
      <c r="D690" s="2">
        <f>HYPERLINK("https://my.zakupki.prom.ua/remote/dispatcher/state_contracting_view/5081954", "UA-2020-08-10-003012-a-a1")</f>
        <v/>
      </c>
      <c r="E690" t="s" s="1">
        <v>2019</v>
      </c>
      <c r="F690" t="s" s="1">
        <v>3061</v>
      </c>
      <c r="G690" t="s" s="1">
        <v>3061</v>
      </c>
      <c r="H690" t="s" s="1">
        <v>1016</v>
      </c>
      <c r="I690" t="s" s="1">
        <v>2361</v>
      </c>
      <c r="J690" t="s" s="1">
        <v>3251</v>
      </c>
      <c r="K690" t="s" s="1">
        <v>486</v>
      </c>
      <c r="L690" t="s" s="1">
        <v>1015</v>
      </c>
      <c r="M690" t="n" s="5">
        <v>579.7</v>
      </c>
      <c r="N690" t="n" s="7">
        <v>44053.0</v>
      </c>
      <c r="O690" t="n" s="7">
        <v>44196.0</v>
      </c>
      <c r="P690" t="s" s="1">
        <v>3499</v>
      </c>
    </row>
    <row r="691" spans="1:16">
      <c r="A691" t="n" s="4">
        <v>686</v>
      </c>
      <c r="B691" s="2">
        <f>HYPERLINK("https://my.zakupki.prom.ua/remote/dispatcher/state_purchase_view/19427394", "UA-2020-09-21-001115-b")</f>
        <v/>
      </c>
      <c r="C691" t="s" s="2">
        <v>3245</v>
      </c>
      <c r="D691" s="2">
        <f>HYPERLINK("https://my.zakupki.prom.ua/remote/dispatcher/state_contracting_view/5558971", "UA-2020-09-21-001115-b-b1")</f>
        <v/>
      </c>
      <c r="E691" t="s" s="1">
        <v>2004</v>
      </c>
      <c r="F691" t="s" s="1">
        <v>2667</v>
      </c>
      <c r="G691" t="s" s="1">
        <v>3502</v>
      </c>
      <c r="H691" t="s" s="1">
        <v>445</v>
      </c>
      <c r="I691" t="s" s="1">
        <v>2361</v>
      </c>
      <c r="J691" t="s" s="1">
        <v>3418</v>
      </c>
      <c r="K691" t="s" s="1">
        <v>949</v>
      </c>
      <c r="L691" t="s" s="1">
        <v>3193</v>
      </c>
      <c r="M691" t="n" s="5">
        <v>6198.0</v>
      </c>
      <c r="N691" t="n" s="7">
        <v>44095.0</v>
      </c>
      <c r="O691" t="n" s="7">
        <v>44196.0</v>
      </c>
      <c r="P691" t="s" s="1">
        <v>3499</v>
      </c>
    </row>
    <row r="692" spans="1:16">
      <c r="A692" t="n" s="4">
        <v>687</v>
      </c>
      <c r="B692" s="2">
        <f>HYPERLINK("https://my.zakupki.prom.ua/remote/dispatcher/state_purchase_view/19349373", "UA-2020-09-17-002294-a")</f>
        <v/>
      </c>
      <c r="C692" t="s" s="2">
        <v>3245</v>
      </c>
      <c r="D692" s="2">
        <f>HYPERLINK("https://my.zakupki.prom.ua/remote/dispatcher/state_contracting_view/5521810", "UA-2020-09-17-002294-a-a1")</f>
        <v/>
      </c>
      <c r="E692" t="s" s="1">
        <v>1450</v>
      </c>
      <c r="F692" t="s" s="1">
        <v>2602</v>
      </c>
      <c r="G692" t="s" s="1">
        <v>2602</v>
      </c>
      <c r="H692" t="s" s="1">
        <v>221</v>
      </c>
      <c r="I692" t="s" s="1">
        <v>2361</v>
      </c>
      <c r="J692" t="s" s="1">
        <v>3467</v>
      </c>
      <c r="K692" t="s" s="1">
        <v>766</v>
      </c>
      <c r="L692" t="s" s="1">
        <v>1329</v>
      </c>
      <c r="M692" t="n" s="5">
        <v>4340.0</v>
      </c>
      <c r="N692" t="n" s="7">
        <v>44089.0</v>
      </c>
      <c r="O692" t="n" s="7">
        <v>44196.0</v>
      </c>
      <c r="P692" t="s" s="1">
        <v>3499</v>
      </c>
    </row>
    <row r="693" spans="1:16">
      <c r="A693" t="n" s="4">
        <v>688</v>
      </c>
      <c r="B693" s="2">
        <f>HYPERLINK("https://my.zakupki.prom.ua/remote/dispatcher/state_purchase_view/19206147", "UA-2020-09-11-005803-b")</f>
        <v/>
      </c>
      <c r="C693" t="s" s="2">
        <v>3245</v>
      </c>
      <c r="D693" s="2">
        <f>HYPERLINK("https://my.zakupki.prom.ua/remote/dispatcher/state_contracting_view/5453375", "UA-2020-09-11-005803-b-b1")</f>
        <v/>
      </c>
      <c r="E693" t="s" s="1">
        <v>1376</v>
      </c>
      <c r="F693" t="s" s="1">
        <v>2709</v>
      </c>
      <c r="G693" t="s" s="1">
        <v>2709</v>
      </c>
      <c r="H693" t="s" s="1">
        <v>631</v>
      </c>
      <c r="I693" t="s" s="1">
        <v>2361</v>
      </c>
      <c r="J693" t="s" s="1">
        <v>3251</v>
      </c>
      <c r="K693" t="s" s="1">
        <v>486</v>
      </c>
      <c r="L693" t="s" s="1">
        <v>1272</v>
      </c>
      <c r="M693" t="n" s="5">
        <v>2680.15</v>
      </c>
      <c r="N693" t="n" s="7">
        <v>44085.0</v>
      </c>
      <c r="O693" t="n" s="7">
        <v>44196.0</v>
      </c>
      <c r="P693" t="s" s="1">
        <v>3499</v>
      </c>
    </row>
    <row r="694" spans="1:16">
      <c r="A694" t="n" s="4">
        <v>689</v>
      </c>
      <c r="B694" s="2">
        <f>HYPERLINK("https://my.zakupki.prom.ua/remote/dispatcher/state_purchase_view/19238761", "UA-2020-09-14-002591-b")</f>
        <v/>
      </c>
      <c r="C694" t="s" s="2">
        <v>3245</v>
      </c>
      <c r="D694" s="2">
        <f>HYPERLINK("https://my.zakupki.prom.ua/remote/dispatcher/state_contracting_view/5468971", "UA-2020-09-14-002591-b-b1")</f>
        <v/>
      </c>
      <c r="E694" t="s" s="1">
        <v>1285</v>
      </c>
      <c r="F694" t="s" s="1">
        <v>3068</v>
      </c>
      <c r="G694" t="s" s="1">
        <v>3068</v>
      </c>
      <c r="H694" t="s" s="1">
        <v>1022</v>
      </c>
      <c r="I694" t="s" s="1">
        <v>2361</v>
      </c>
      <c r="J694" t="s" s="1">
        <v>3251</v>
      </c>
      <c r="K694" t="s" s="1">
        <v>486</v>
      </c>
      <c r="L694" t="s" s="1">
        <v>1268</v>
      </c>
      <c r="M694" t="n" s="5">
        <v>1389.85</v>
      </c>
      <c r="N694" t="n" s="7">
        <v>44085.0</v>
      </c>
      <c r="O694" t="n" s="7">
        <v>44196.0</v>
      </c>
      <c r="P694" t="s" s="1">
        <v>3499</v>
      </c>
    </row>
    <row r="695" spans="1:16">
      <c r="A695" t="n" s="4">
        <v>690</v>
      </c>
      <c r="B695" s="2">
        <f>HYPERLINK("https://my.zakupki.prom.ua/remote/dispatcher/state_purchase_view/19024549", "UA-2020-09-04-008404-b")</f>
        <v/>
      </c>
      <c r="C695" t="s" s="2">
        <v>3245</v>
      </c>
      <c r="D695" s="2">
        <f>HYPERLINK("https://my.zakupki.prom.ua/remote/dispatcher/state_contracting_view/5367771", "UA-2020-09-04-008404-b-b1")</f>
        <v/>
      </c>
      <c r="E695" t="s" s="1">
        <v>2263</v>
      </c>
      <c r="F695" t="s" s="1">
        <v>2757</v>
      </c>
      <c r="G695" t="s" s="1">
        <v>2757</v>
      </c>
      <c r="H695" t="s" s="1">
        <v>690</v>
      </c>
      <c r="I695" t="s" s="1">
        <v>2361</v>
      </c>
      <c r="J695" t="s" s="1">
        <v>3403</v>
      </c>
      <c r="K695" t="s" s="1">
        <v>771</v>
      </c>
      <c r="L695" t="s" s="1">
        <v>1240</v>
      </c>
      <c r="M695" t="n" s="5">
        <v>18369.12</v>
      </c>
      <c r="N695" t="n" s="7">
        <v>44078.0</v>
      </c>
      <c r="O695" t="n" s="7">
        <v>44196.0</v>
      </c>
      <c r="P695" t="s" s="1">
        <v>3499</v>
      </c>
    </row>
    <row r="696" spans="1:16">
      <c r="A696" t="n" s="4">
        <v>691</v>
      </c>
      <c r="B696" s="2">
        <f>HYPERLINK("https://my.zakupki.prom.ua/remote/dispatcher/state_purchase_view/19320963", "UA-2020-09-16-005080-a")</f>
        <v/>
      </c>
      <c r="C696" t="s" s="2">
        <v>3245</v>
      </c>
      <c r="D696" s="2">
        <f>HYPERLINK("https://my.zakupki.prom.ua/remote/dispatcher/state_contracting_view/5508250", "UA-2020-09-16-005080-a-a1")</f>
        <v/>
      </c>
      <c r="E696" t="s" s="1">
        <v>1904</v>
      </c>
      <c r="F696" t="s" s="1">
        <v>3113</v>
      </c>
      <c r="G696" t="s" s="1">
        <v>3113</v>
      </c>
      <c r="H696" t="s" s="1">
        <v>1490</v>
      </c>
      <c r="I696" t="s" s="1">
        <v>2361</v>
      </c>
      <c r="J696" t="s" s="1">
        <v>3298</v>
      </c>
      <c r="K696" t="s" s="1">
        <v>395</v>
      </c>
      <c r="L696" t="s" s="1">
        <v>583</v>
      </c>
      <c r="M696" t="n" s="5">
        <v>441.0</v>
      </c>
      <c r="N696" t="n" s="7">
        <v>44090.0</v>
      </c>
      <c r="O696" t="n" s="7">
        <v>44196.0</v>
      </c>
      <c r="P696" t="s" s="1">
        <v>3499</v>
      </c>
    </row>
    <row r="697" spans="1:16">
      <c r="A697" t="n" s="4">
        <v>692</v>
      </c>
      <c r="B697" s="2">
        <f>HYPERLINK("https://my.zakupki.prom.ua/remote/dispatcher/state_purchase_view/17533294", "UA-2020-06-26-005022-a")</f>
        <v/>
      </c>
      <c r="C697" t="s" s="2">
        <v>3245</v>
      </c>
      <c r="D697" s="2">
        <f>HYPERLINK("https://my.zakupki.prom.ua/remote/dispatcher/state_contracting_view/4669712", "UA-2020-06-26-005022-a-a1")</f>
        <v/>
      </c>
      <c r="E697" t="s" s="1">
        <v>2096</v>
      </c>
      <c r="F697" t="s" s="1">
        <v>3166</v>
      </c>
      <c r="G697" t="s" s="1">
        <v>3236</v>
      </c>
      <c r="H697" t="s" s="1">
        <v>830</v>
      </c>
      <c r="I697" t="s" s="1">
        <v>2361</v>
      </c>
      <c r="J697" t="s" s="1">
        <v>3438</v>
      </c>
      <c r="K697" t="s" s="1">
        <v>713</v>
      </c>
      <c r="L697" t="s" s="1">
        <v>421</v>
      </c>
      <c r="M697" t="n" s="5">
        <v>6500.0</v>
      </c>
      <c r="N697" t="n" s="7">
        <v>44008.0</v>
      </c>
      <c r="O697" t="n" s="7">
        <v>44196.0</v>
      </c>
      <c r="P697" t="s" s="1">
        <v>3499</v>
      </c>
    </row>
    <row r="698" spans="1:16">
      <c r="A698" t="n" s="4">
        <v>693</v>
      </c>
      <c r="B698" s="2">
        <f>HYPERLINK("https://my.zakupki.prom.ua/remote/dispatcher/state_purchase_view/18261331", "UA-2020-08-03-000769-a")</f>
        <v/>
      </c>
      <c r="C698" t="s" s="2">
        <v>3245</v>
      </c>
      <c r="D698" s="2">
        <f>HYPERLINK("https://my.zakupki.prom.ua/remote/dispatcher/state_contracting_view/5076705", "UA-2020-08-03-000769-a-a1")</f>
        <v/>
      </c>
      <c r="E698" t="s" s="1">
        <v>79</v>
      </c>
      <c r="F698" t="s" s="1">
        <v>2891</v>
      </c>
      <c r="G698" t="s" s="1">
        <v>2890</v>
      </c>
      <c r="H698" t="s" s="1">
        <v>718</v>
      </c>
      <c r="I698" t="s" s="1">
        <v>3313</v>
      </c>
      <c r="J698" t="s" s="1">
        <v>3392</v>
      </c>
      <c r="K698" t="s" s="1">
        <v>428</v>
      </c>
      <c r="L698" t="s" s="1">
        <v>989</v>
      </c>
      <c r="M698" t="n" s="5">
        <v>49979.57</v>
      </c>
      <c r="N698" t="n" s="7">
        <v>44053.0</v>
      </c>
      <c r="O698" t="n" s="7">
        <v>44196.0</v>
      </c>
      <c r="P698" t="s" s="1">
        <v>3499</v>
      </c>
    </row>
    <row r="699" spans="1:16">
      <c r="A699" t="n" s="4">
        <v>694</v>
      </c>
      <c r="B699" s="2">
        <f>HYPERLINK("https://my.zakupki.prom.ua/remote/dispatcher/state_purchase_view/18412029", "UA-2020-08-10-000325-a")</f>
        <v/>
      </c>
      <c r="C699" t="s" s="2">
        <v>3245</v>
      </c>
      <c r="D699" s="2">
        <f>HYPERLINK("https://my.zakupki.prom.ua/remote/dispatcher/state_contracting_view/5077278", "UA-2020-08-10-000325-a-a1")</f>
        <v/>
      </c>
      <c r="E699" t="s" s="1">
        <v>1433</v>
      </c>
      <c r="F699" t="s" s="1">
        <v>2967</v>
      </c>
      <c r="G699" t="s" s="1">
        <v>2967</v>
      </c>
      <c r="H699" t="s" s="1">
        <v>757</v>
      </c>
      <c r="I699" t="s" s="1">
        <v>2361</v>
      </c>
      <c r="J699" t="s" s="1">
        <v>3253</v>
      </c>
      <c r="K699" t="s" s="1">
        <v>403</v>
      </c>
      <c r="L699" t="s" s="1">
        <v>997</v>
      </c>
      <c r="M699" t="n" s="5">
        <v>3700.0</v>
      </c>
      <c r="N699" t="n" s="7">
        <v>44050.0</v>
      </c>
      <c r="O699" t="n" s="7">
        <v>44196.0</v>
      </c>
      <c r="P699" t="s" s="1">
        <v>3499</v>
      </c>
    </row>
    <row r="700" spans="1:16">
      <c r="A700" t="n" s="4">
        <v>695</v>
      </c>
      <c r="B700" s="2">
        <f>HYPERLINK("https://my.zakupki.prom.ua/remote/dispatcher/state_purchase_view/19011570", "UA-2020-09-04-003854-b")</f>
        <v/>
      </c>
      <c r="C700" t="s" s="2">
        <v>3245</v>
      </c>
      <c r="D700" s="2">
        <f>HYPERLINK("https://my.zakupki.prom.ua/remote/dispatcher/state_contracting_view/5786833", "UA-2020-09-04-003854-b-a1")</f>
        <v/>
      </c>
      <c r="E700" t="s" s="1">
        <v>1035</v>
      </c>
      <c r="F700" t="s" s="1">
        <v>2741</v>
      </c>
      <c r="G700" t="s" s="1">
        <v>2741</v>
      </c>
      <c r="H700" t="s" s="1">
        <v>690</v>
      </c>
      <c r="I700" t="s" s="1">
        <v>2311</v>
      </c>
      <c r="J700" t="s" s="1">
        <v>3222</v>
      </c>
      <c r="K700" t="s" s="1">
        <v>393</v>
      </c>
      <c r="L700" t="s" s="1">
        <v>1481</v>
      </c>
      <c r="M700" t="n" s="5">
        <v>28540.0</v>
      </c>
      <c r="N700" t="n" s="7">
        <v>44111.0</v>
      </c>
      <c r="O700" t="n" s="7">
        <v>44196.0</v>
      </c>
      <c r="P700" t="s" s="1">
        <v>3499</v>
      </c>
    </row>
    <row r="701" spans="1:16">
      <c r="A701" t="n" s="4">
        <v>696</v>
      </c>
      <c r="B701" s="2">
        <f>HYPERLINK("https://my.zakupki.prom.ua/remote/dispatcher/state_purchase_view/19928998", "UA-2020-10-08-001248-a")</f>
        <v/>
      </c>
      <c r="C701" t="s" s="2">
        <v>3245</v>
      </c>
      <c r="D701" s="2">
        <f>HYPERLINK("https://my.zakupki.prom.ua/remote/dispatcher/state_contracting_view/5794054", "UA-2020-10-08-001248-a-a1")</f>
        <v/>
      </c>
      <c r="E701" t="s" s="1">
        <v>2084</v>
      </c>
      <c r="F701" t="s" s="1">
        <v>2877</v>
      </c>
      <c r="G701" t="s" s="1">
        <v>3493</v>
      </c>
      <c r="H701" t="s" s="1">
        <v>718</v>
      </c>
      <c r="I701" t="s" s="1">
        <v>2361</v>
      </c>
      <c r="J701" t="s" s="1">
        <v>3402</v>
      </c>
      <c r="K701" t="s" s="1">
        <v>375</v>
      </c>
      <c r="L701" t="s" s="1">
        <v>554</v>
      </c>
      <c r="M701" t="n" s="5">
        <v>105612.0</v>
      </c>
      <c r="N701" t="n" s="7">
        <v>44111.0</v>
      </c>
      <c r="O701" t="n" s="7">
        <v>44196.0</v>
      </c>
      <c r="P701" t="s" s="1">
        <v>3499</v>
      </c>
    </row>
    <row r="702" spans="1:16">
      <c r="A702" t="n" s="4">
        <v>697</v>
      </c>
      <c r="B702" s="2">
        <f>HYPERLINK("https://my.zakupki.prom.ua/remote/dispatcher/state_purchase_view/19900949", "UA-2020-10-07-005271-a")</f>
        <v/>
      </c>
      <c r="C702" t="s" s="2">
        <v>3245</v>
      </c>
      <c r="D702" s="2">
        <f>HYPERLINK("https://my.zakupki.prom.ua/remote/dispatcher/state_contracting_view/5780937", "UA-2020-10-07-005271-a-a1")</f>
        <v/>
      </c>
      <c r="E702" t="s" s="1">
        <v>1472</v>
      </c>
      <c r="F702" t="s" s="1">
        <v>2886</v>
      </c>
      <c r="G702" t="s" s="1">
        <v>2886</v>
      </c>
      <c r="H702" t="s" s="1">
        <v>718</v>
      </c>
      <c r="I702" t="s" s="1">
        <v>2361</v>
      </c>
      <c r="J702" t="s" s="1">
        <v>3414</v>
      </c>
      <c r="K702" t="s" s="1">
        <v>799</v>
      </c>
      <c r="L702" t="s" s="1">
        <v>3432</v>
      </c>
      <c r="M702" t="n" s="5">
        <v>15000.0</v>
      </c>
      <c r="N702" t="n" s="7">
        <v>44111.0</v>
      </c>
      <c r="O702" t="n" s="7">
        <v>44196.0</v>
      </c>
      <c r="P702" t="s" s="1">
        <v>3499</v>
      </c>
    </row>
    <row r="703" spans="1:16">
      <c r="A703" t="n" s="4">
        <v>698</v>
      </c>
      <c r="B703" s="2">
        <f>HYPERLINK("https://my.zakupki.prom.ua/remote/dispatcher/state_purchase_view/16388150", "UA-2020-04-17-004765-b")</f>
        <v/>
      </c>
      <c r="C703" t="s" s="2">
        <v>3245</v>
      </c>
      <c r="D703" s="2">
        <f>HYPERLINK("https://my.zakupki.prom.ua/remote/dispatcher/state_contracting_view/4152068", "UA-2020-04-17-004765-b-b1")</f>
        <v/>
      </c>
      <c r="E703" t="s" s="1">
        <v>2237</v>
      </c>
      <c r="F703" t="s" s="1">
        <v>705</v>
      </c>
      <c r="G703" t="s" s="1">
        <v>702</v>
      </c>
      <c r="H703" t="s" s="1">
        <v>703</v>
      </c>
      <c r="I703" t="s" s="1">
        <v>2361</v>
      </c>
      <c r="J703" t="s" s="1">
        <v>2280</v>
      </c>
      <c r="K703" t="s" s="1">
        <v>453</v>
      </c>
      <c r="L703" t="s" s="1">
        <v>151</v>
      </c>
      <c r="M703" t="n" s="5">
        <v>51600.0</v>
      </c>
      <c r="N703" t="n" s="7">
        <v>43937.0</v>
      </c>
      <c r="O703" t="n" s="7">
        <v>44196.0</v>
      </c>
      <c r="P703" t="s" s="1">
        <v>3499</v>
      </c>
    </row>
    <row r="704" spans="1:16">
      <c r="A704" t="n" s="4">
        <v>699</v>
      </c>
      <c r="B704" s="2">
        <f>HYPERLINK("https://my.zakupki.prom.ua/remote/dispatcher/state_purchase_view/16394276", "UA-2020-04-17-006166-b")</f>
        <v/>
      </c>
      <c r="C704" t="s" s="2">
        <v>3245</v>
      </c>
      <c r="D704" s="2">
        <f>HYPERLINK("https://my.zakupki.prom.ua/remote/dispatcher/state_contracting_view/4154675", "UA-2020-04-17-006166-b-b1")</f>
        <v/>
      </c>
      <c r="E704" t="s" s="1">
        <v>1948</v>
      </c>
      <c r="F704" t="s" s="1">
        <v>2336</v>
      </c>
      <c r="G704" t="s" s="1">
        <v>2336</v>
      </c>
      <c r="H704" t="s" s="1">
        <v>736</v>
      </c>
      <c r="I704" t="s" s="1">
        <v>2361</v>
      </c>
      <c r="J704" t="s" s="1">
        <v>3417</v>
      </c>
      <c r="K704" t="s" s="1">
        <v>950</v>
      </c>
      <c r="L704" t="s" s="1">
        <v>3175</v>
      </c>
      <c r="M704" t="n" s="5">
        <v>1784.0</v>
      </c>
      <c r="N704" t="n" s="7">
        <v>43938.0</v>
      </c>
      <c r="O704" t="n" s="7">
        <v>44196.0</v>
      </c>
      <c r="P704" t="s" s="1">
        <v>3499</v>
      </c>
    </row>
    <row r="705" spans="1:16">
      <c r="A705" t="n" s="4">
        <v>700</v>
      </c>
      <c r="B705" s="2">
        <f>HYPERLINK("https://my.zakupki.prom.ua/remote/dispatcher/state_purchase_view/18651102", "UA-2020-08-19-002691-a")</f>
        <v/>
      </c>
      <c r="C705" t="s" s="2">
        <v>3245</v>
      </c>
      <c r="D705" s="2">
        <f>HYPERLINK("https://my.zakupki.prom.ua/remote/dispatcher/state_contracting_view/5189474", "UA-2020-08-19-002691-a-a1")</f>
        <v/>
      </c>
      <c r="E705" t="s" s="1">
        <v>1654</v>
      </c>
      <c r="F705" t="s" s="1">
        <v>2962</v>
      </c>
      <c r="G705" t="s" s="1">
        <v>2962</v>
      </c>
      <c r="H705" t="s" s="1">
        <v>738</v>
      </c>
      <c r="I705" t="s" s="1">
        <v>2361</v>
      </c>
      <c r="J705" t="s" s="1">
        <v>3467</v>
      </c>
      <c r="K705" t="s" s="1">
        <v>766</v>
      </c>
      <c r="L705" t="s" s="1">
        <v>1155</v>
      </c>
      <c r="M705" t="n" s="5">
        <v>1408.0</v>
      </c>
      <c r="N705" t="n" s="7">
        <v>44060.0</v>
      </c>
      <c r="O705" t="n" s="7">
        <v>44196.0</v>
      </c>
      <c r="P705" t="s" s="1">
        <v>3499</v>
      </c>
    </row>
    <row r="706" spans="1:16">
      <c r="A706" t="n" s="4">
        <v>701</v>
      </c>
      <c r="B706" s="2">
        <f>HYPERLINK("https://my.zakupki.prom.ua/remote/dispatcher/state_purchase_view/18463211", "UA-2020-08-11-006232-a")</f>
        <v/>
      </c>
      <c r="C706" t="s" s="2">
        <v>3245</v>
      </c>
      <c r="D706" s="2">
        <f>HYPERLINK("https://my.zakupki.prom.ua/remote/dispatcher/state_contracting_view/5158054", "UA-2020-08-11-006232-a-a1")</f>
        <v/>
      </c>
      <c r="E706" t="s" s="1">
        <v>1118</v>
      </c>
      <c r="F706" t="s" s="1">
        <v>2944</v>
      </c>
      <c r="G706" t="s" s="1">
        <v>2944</v>
      </c>
      <c r="H706" t="s" s="1">
        <v>725</v>
      </c>
      <c r="I706" t="s" s="1">
        <v>3313</v>
      </c>
      <c r="J706" t="s" s="1">
        <v>3392</v>
      </c>
      <c r="K706" t="s" s="1">
        <v>428</v>
      </c>
      <c r="L706" t="s" s="1">
        <v>1087</v>
      </c>
      <c r="M706" t="n" s="5">
        <v>2956.65</v>
      </c>
      <c r="N706" t="n" s="7">
        <v>44060.0</v>
      </c>
      <c r="O706" t="n" s="7">
        <v>44196.0</v>
      </c>
      <c r="P706" t="s" s="1">
        <v>3499</v>
      </c>
    </row>
    <row r="707" spans="1:16">
      <c r="A707" t="n" s="4">
        <v>702</v>
      </c>
      <c r="B707" s="2">
        <f>HYPERLINK("https://my.zakupki.prom.ua/remote/dispatcher/state_purchase_view/18510554", "UA-2020-08-13-000598-a")</f>
        <v/>
      </c>
      <c r="C707" t="s" s="2">
        <v>3245</v>
      </c>
      <c r="D707" s="2">
        <f>HYPERLINK("https://my.zakupki.prom.ua/remote/dispatcher/state_contracting_view/5123628", "UA-2020-08-13-000598-a-a1")</f>
        <v/>
      </c>
      <c r="E707" t="s" s="1">
        <v>573</v>
      </c>
      <c r="F707" t="s" s="1">
        <v>2870</v>
      </c>
      <c r="G707" t="s" s="1">
        <v>3483</v>
      </c>
      <c r="H707" t="s" s="1">
        <v>718</v>
      </c>
      <c r="I707" t="s" s="1">
        <v>2361</v>
      </c>
      <c r="J707" t="s" s="1">
        <v>3382</v>
      </c>
      <c r="K707" t="s" s="1">
        <v>955</v>
      </c>
      <c r="L707" t="s" s="1">
        <v>1072</v>
      </c>
      <c r="M707" t="n" s="5">
        <v>229830.0</v>
      </c>
      <c r="N707" t="n" s="7">
        <v>44056.0</v>
      </c>
      <c r="O707" t="n" s="7">
        <v>44196.0</v>
      </c>
      <c r="P707" t="s" s="1">
        <v>3499</v>
      </c>
    </row>
    <row r="708" spans="1:16">
      <c r="A708" t="n" s="4">
        <v>703</v>
      </c>
      <c r="B708" s="2">
        <f>HYPERLINK("https://my.zakupki.prom.ua/remote/dispatcher/state_purchase_view/18476537", "UA-2020-08-12-000885-a")</f>
        <v/>
      </c>
      <c r="C708" t="s" s="2">
        <v>3245</v>
      </c>
      <c r="D708" s="2">
        <f>HYPERLINK("https://my.zakupki.prom.ua/remote/dispatcher/state_contracting_view/5107694", "UA-2020-08-12-000885-a-a1")</f>
        <v/>
      </c>
      <c r="E708" t="s" s="1">
        <v>1359</v>
      </c>
      <c r="F708" t="s" s="1">
        <v>2539</v>
      </c>
      <c r="G708" t="s" s="1">
        <v>2539</v>
      </c>
      <c r="H708" t="s" s="1">
        <v>207</v>
      </c>
      <c r="I708" t="s" s="1">
        <v>2361</v>
      </c>
      <c r="J708" t="s" s="1">
        <v>3467</v>
      </c>
      <c r="K708" t="s" s="1">
        <v>766</v>
      </c>
      <c r="L708" t="s" s="1">
        <v>1059</v>
      </c>
      <c r="M708" t="n" s="5">
        <v>17624.0</v>
      </c>
      <c r="N708" t="n" s="7">
        <v>44053.0</v>
      </c>
      <c r="O708" t="n" s="7">
        <v>44196.0</v>
      </c>
      <c r="P708" t="s" s="1">
        <v>3499</v>
      </c>
    </row>
    <row r="709" spans="1:16">
      <c r="A709" t="n" s="4">
        <v>704</v>
      </c>
      <c r="B709" s="2">
        <f>HYPERLINK("https://my.zakupki.prom.ua/remote/dispatcher/state_purchase_view/18477140", "UA-2020-08-12-001028-a")</f>
        <v/>
      </c>
      <c r="C709" t="s" s="2">
        <v>3245</v>
      </c>
      <c r="D709" s="2">
        <f>HYPERLINK("https://my.zakupki.prom.ua/remote/dispatcher/state_contracting_view/5108329", "UA-2020-08-12-001028-a-a1")</f>
        <v/>
      </c>
      <c r="E709" t="s" s="1">
        <v>2071</v>
      </c>
      <c r="F709" t="s" s="1">
        <v>2504</v>
      </c>
      <c r="G709" t="s" s="1">
        <v>2504</v>
      </c>
      <c r="H709" t="s" s="1">
        <v>38</v>
      </c>
      <c r="I709" t="s" s="1">
        <v>2361</v>
      </c>
      <c r="J709" t="s" s="1">
        <v>3467</v>
      </c>
      <c r="K709" t="s" s="1">
        <v>766</v>
      </c>
      <c r="L709" t="s" s="1">
        <v>1060</v>
      </c>
      <c r="M709" t="n" s="5">
        <v>630.0</v>
      </c>
      <c r="N709" t="n" s="7">
        <v>44053.0</v>
      </c>
      <c r="O709" t="n" s="7">
        <v>44196.0</v>
      </c>
      <c r="P709" t="s" s="1">
        <v>3499</v>
      </c>
    </row>
    <row r="710" spans="1:16">
      <c r="A710" t="n" s="4">
        <v>705</v>
      </c>
      <c r="B710" s="2">
        <f>HYPERLINK("https://my.zakupki.prom.ua/remote/dispatcher/state_purchase_view/18477928", "UA-2020-08-12-001203-a")</f>
        <v/>
      </c>
      <c r="C710" t="s" s="2">
        <v>3245</v>
      </c>
      <c r="D710" s="2">
        <f>HYPERLINK("https://my.zakupki.prom.ua/remote/dispatcher/state_contracting_view/5108133", "UA-2020-08-12-001203-a-a1")</f>
        <v/>
      </c>
      <c r="E710" t="s" s="1">
        <v>58</v>
      </c>
      <c r="F710" t="s" s="1">
        <v>2592</v>
      </c>
      <c r="G710" t="s" s="1">
        <v>2592</v>
      </c>
      <c r="H710" t="s" s="1">
        <v>221</v>
      </c>
      <c r="I710" t="s" s="1">
        <v>2361</v>
      </c>
      <c r="J710" t="s" s="1">
        <v>3467</v>
      </c>
      <c r="K710" t="s" s="1">
        <v>766</v>
      </c>
      <c r="L710" t="s" s="1">
        <v>1061</v>
      </c>
      <c r="M710" t="n" s="5">
        <v>819.6</v>
      </c>
      <c r="N710" t="n" s="7">
        <v>44053.0</v>
      </c>
      <c r="O710" t="n" s="7">
        <v>44196.0</v>
      </c>
      <c r="P710" t="s" s="1">
        <v>3499</v>
      </c>
    </row>
    <row r="711" spans="1:16">
      <c r="A711" t="n" s="4">
        <v>706</v>
      </c>
      <c r="B711" s="2">
        <f>HYPERLINK("https://my.zakupki.prom.ua/remote/dispatcher/state_purchase_view/18790934", "UA-2020-08-26-003850-a")</f>
        <v/>
      </c>
      <c r="C711" t="s" s="2">
        <v>3245</v>
      </c>
      <c r="D711" s="2">
        <f>HYPERLINK("https://my.zakupki.prom.ua/remote/dispatcher/state_contracting_view/5257473", "UA-2020-08-26-003850-a-a1")</f>
        <v/>
      </c>
      <c r="E711" t="s" s="1">
        <v>309</v>
      </c>
      <c r="F711" t="s" s="1">
        <v>2556</v>
      </c>
      <c r="G711" t="s" s="1">
        <v>2556</v>
      </c>
      <c r="H711" t="s" s="1">
        <v>213</v>
      </c>
      <c r="I711" t="s" s="1">
        <v>2361</v>
      </c>
      <c r="J711" t="s" s="1">
        <v>3467</v>
      </c>
      <c r="K711" t="s" s="1">
        <v>766</v>
      </c>
      <c r="L711" t="s" s="1">
        <v>1179</v>
      </c>
      <c r="M711" t="n" s="5">
        <v>780.0</v>
      </c>
      <c r="N711" t="n" s="7">
        <v>44068.0</v>
      </c>
      <c r="O711" t="n" s="7">
        <v>44196.0</v>
      </c>
      <c r="P711" t="s" s="1">
        <v>3499</v>
      </c>
    </row>
    <row r="712" spans="1:16">
      <c r="A712" t="n" s="4">
        <v>707</v>
      </c>
      <c r="B712" s="2">
        <f>HYPERLINK("https://my.zakupki.prom.ua/remote/dispatcher/state_purchase_view/18777777", "UA-2020-08-26-000273-a")</f>
        <v/>
      </c>
      <c r="C712" t="s" s="2">
        <v>3245</v>
      </c>
      <c r="D712" s="2">
        <f>HYPERLINK("https://my.zakupki.prom.ua/remote/dispatcher/state_contracting_view/5252952", "UA-2020-08-26-000273-a-a1")</f>
        <v/>
      </c>
      <c r="E712" t="s" s="1">
        <v>2042</v>
      </c>
      <c r="F712" t="s" s="1">
        <v>2389</v>
      </c>
      <c r="G712" t="s" s="1">
        <v>2389</v>
      </c>
      <c r="H712" t="s" s="1">
        <v>703</v>
      </c>
      <c r="I712" t="s" s="1">
        <v>2361</v>
      </c>
      <c r="J712" t="s" s="1">
        <v>3461</v>
      </c>
      <c r="K712" t="s" s="1">
        <v>534</v>
      </c>
      <c r="L712" t="s" s="1">
        <v>1171</v>
      </c>
      <c r="M712" t="n" s="5">
        <v>34040.0</v>
      </c>
      <c r="N712" t="n" s="7">
        <v>44069.0</v>
      </c>
      <c r="O712" t="n" s="7">
        <v>44196.0</v>
      </c>
      <c r="P712" t="s" s="1">
        <v>3499</v>
      </c>
    </row>
    <row r="713" spans="1:16">
      <c r="A713" t="n" s="4">
        <v>708</v>
      </c>
      <c r="B713" s="2">
        <f>HYPERLINK("https://my.zakupki.prom.ua/remote/dispatcher/state_purchase_view/17672543", "UA-2020-07-06-003879-a")</f>
        <v/>
      </c>
      <c r="C713" t="s" s="2">
        <v>3245</v>
      </c>
      <c r="D713" s="2">
        <f>HYPERLINK("https://my.zakupki.prom.ua/remote/dispatcher/state_contracting_view/4733449", "UA-2020-07-06-003879-a-a1")</f>
        <v/>
      </c>
      <c r="E713" t="s" s="1">
        <v>1524</v>
      </c>
      <c r="F713" t="s" s="1">
        <v>3046</v>
      </c>
      <c r="G713" t="s" s="1">
        <v>3046</v>
      </c>
      <c r="H713" t="s" s="1">
        <v>1003</v>
      </c>
      <c r="I713" t="s" s="1">
        <v>2361</v>
      </c>
      <c r="J713" t="s" s="1">
        <v>3251</v>
      </c>
      <c r="K713" t="s" s="1">
        <v>486</v>
      </c>
      <c r="L713" t="s" s="1">
        <v>502</v>
      </c>
      <c r="M713" t="n" s="5">
        <v>17225.3</v>
      </c>
      <c r="N713" t="n" s="7">
        <v>44018.0</v>
      </c>
      <c r="O713" t="n" s="7">
        <v>44196.0</v>
      </c>
      <c r="P713" t="s" s="1">
        <v>3499</v>
      </c>
    </row>
    <row r="714" spans="1:16">
      <c r="A714" t="n" s="4">
        <v>709</v>
      </c>
      <c r="B714" s="2">
        <f>HYPERLINK("https://my.zakupki.prom.ua/remote/dispatcher/state_purchase_view/17628973", "UA-2020-07-03-000936-a")</f>
        <v/>
      </c>
      <c r="C714" t="s" s="2">
        <v>3245</v>
      </c>
      <c r="D714" s="2">
        <f>HYPERLINK("https://my.zakupki.prom.ua/remote/dispatcher/state_contracting_view/4713787", "UA-2020-07-03-000936-a-a1")</f>
        <v/>
      </c>
      <c r="E714" t="s" s="1">
        <v>154</v>
      </c>
      <c r="F714" t="s" s="1">
        <v>3144</v>
      </c>
      <c r="G714" t="s" s="1">
        <v>3144</v>
      </c>
      <c r="H714" t="s" s="1">
        <v>1665</v>
      </c>
      <c r="I714" t="s" s="1">
        <v>2361</v>
      </c>
      <c r="J714" t="s" s="1">
        <v>3456</v>
      </c>
      <c r="K714" t="s" s="1">
        <v>800</v>
      </c>
      <c r="L714" t="s" s="1">
        <v>468</v>
      </c>
      <c r="M714" t="n" s="5">
        <v>15269.5</v>
      </c>
      <c r="N714" t="n" s="7">
        <v>44015.0</v>
      </c>
      <c r="O714" t="n" s="7">
        <v>44196.0</v>
      </c>
      <c r="P714" t="s" s="1">
        <v>3499</v>
      </c>
    </row>
    <row r="715" spans="1:16">
      <c r="A715" t="n" s="4">
        <v>710</v>
      </c>
      <c r="B715" s="2">
        <f>HYPERLINK("https://my.zakupki.prom.ua/remote/dispatcher/state_purchase_view/17651365", "UA-2020-07-03-006857-a")</f>
        <v/>
      </c>
      <c r="C715" t="s" s="2">
        <v>3245</v>
      </c>
      <c r="D715" s="2">
        <f>HYPERLINK("https://my.zakupki.prom.ua/remote/dispatcher/state_contracting_view/4723517", "UA-2020-07-03-006857-a-a1")</f>
        <v/>
      </c>
      <c r="E715" t="s" s="1">
        <v>1988</v>
      </c>
      <c r="F715" t="s" s="1">
        <v>2988</v>
      </c>
      <c r="G715" t="s" s="1">
        <v>2989</v>
      </c>
      <c r="H715" t="s" s="1">
        <v>848</v>
      </c>
      <c r="I715" t="s" s="1">
        <v>2361</v>
      </c>
      <c r="J715" t="s" s="1">
        <v>2305</v>
      </c>
      <c r="K715" t="s" s="1">
        <v>361</v>
      </c>
      <c r="L715" t="s" s="1">
        <v>481</v>
      </c>
      <c r="M715" t="n" s="5">
        <v>4975.0</v>
      </c>
      <c r="N715" t="n" s="7">
        <v>44015.0</v>
      </c>
      <c r="O715" t="n" s="7">
        <v>44196.0</v>
      </c>
      <c r="P715" t="s" s="1">
        <v>3499</v>
      </c>
    </row>
    <row r="716" spans="1:16">
      <c r="A716" t="n" s="4">
        <v>711</v>
      </c>
      <c r="B716" s="2">
        <f>HYPERLINK("https://my.zakupki.prom.ua/remote/dispatcher/state_purchase_view/17696617", "UA-2020-07-07-002588-a")</f>
        <v/>
      </c>
      <c r="C716" t="s" s="2">
        <v>3245</v>
      </c>
      <c r="D716" s="2">
        <f>HYPERLINK("https://my.zakupki.prom.ua/remote/dispatcher/state_contracting_view/4744366", "UA-2020-07-07-002588-a-a1")</f>
        <v/>
      </c>
      <c r="E716" t="s" s="1">
        <v>2058</v>
      </c>
      <c r="F716" t="s" s="1">
        <v>2856</v>
      </c>
      <c r="G716" t="s" s="1">
        <v>2856</v>
      </c>
      <c r="H716" t="s" s="1">
        <v>718</v>
      </c>
      <c r="I716" t="s" s="1">
        <v>2361</v>
      </c>
      <c r="J716" t="s" s="1">
        <v>3392</v>
      </c>
      <c r="K716" t="s" s="1">
        <v>428</v>
      </c>
      <c r="L716" t="s" s="1">
        <v>512</v>
      </c>
      <c r="M716" t="n" s="5">
        <v>49831.6</v>
      </c>
      <c r="N716" t="n" s="7">
        <v>44018.0</v>
      </c>
      <c r="O716" t="n" s="7">
        <v>44196.0</v>
      </c>
      <c r="P716" t="s" s="1">
        <v>3499</v>
      </c>
    </row>
    <row r="717" spans="1:16">
      <c r="A717" t="n" s="4">
        <v>712</v>
      </c>
      <c r="B717" s="2">
        <f>HYPERLINK("https://my.zakupki.prom.ua/remote/dispatcher/state_purchase_view/17720831", "UA-2020-07-08-001039-c")</f>
        <v/>
      </c>
      <c r="C717" t="s" s="2">
        <v>3245</v>
      </c>
      <c r="D717" s="2">
        <f>HYPERLINK("https://my.zakupki.prom.ua/remote/dispatcher/state_contracting_view/4755828", "UA-2020-07-08-001039-c-c1")</f>
        <v/>
      </c>
      <c r="E717" t="s" s="1">
        <v>2152</v>
      </c>
      <c r="F717" t="s" s="1">
        <v>3129</v>
      </c>
      <c r="G717" t="s" s="1">
        <v>3129</v>
      </c>
      <c r="H717" t="s" s="1">
        <v>1499</v>
      </c>
      <c r="I717" t="s" s="1">
        <v>2361</v>
      </c>
      <c r="J717" t="s" s="1">
        <v>3411</v>
      </c>
      <c r="K717" t="s" s="1">
        <v>810</v>
      </c>
      <c r="L717" t="s" s="1">
        <v>414</v>
      </c>
      <c r="M717" t="n" s="5">
        <v>36813.07</v>
      </c>
      <c r="N717" t="n" s="7">
        <v>44020.0</v>
      </c>
      <c r="O717" t="n" s="7">
        <v>44196.0</v>
      </c>
      <c r="P717" t="s" s="1">
        <v>3499</v>
      </c>
    </row>
    <row r="718" spans="1:16">
      <c r="A718" t="n" s="4">
        <v>713</v>
      </c>
      <c r="B718" s="2">
        <f>HYPERLINK("https://my.zakupki.prom.ua/remote/dispatcher/state_purchase_view/17593956", "UA-2020-07-01-008971-a")</f>
        <v/>
      </c>
      <c r="C718" t="s" s="2">
        <v>3245</v>
      </c>
      <c r="D718" s="2">
        <f>HYPERLINK("https://my.zakupki.prom.ua/remote/dispatcher/state_contracting_view/4697051", "UA-2020-07-01-008971-a-a1")</f>
        <v/>
      </c>
      <c r="E718" t="s" s="1">
        <v>1318</v>
      </c>
      <c r="F718" t="s" s="1">
        <v>2481</v>
      </c>
      <c r="G718" t="s" s="1">
        <v>2481</v>
      </c>
      <c r="H718" t="s" s="1">
        <v>855</v>
      </c>
      <c r="I718" t="s" s="1">
        <v>2361</v>
      </c>
      <c r="J718" t="s" s="1">
        <v>3417</v>
      </c>
      <c r="K718" t="s" s="1">
        <v>950</v>
      </c>
      <c r="L718" t="s" s="1">
        <v>3182</v>
      </c>
      <c r="M718" t="n" s="5">
        <v>29700.0</v>
      </c>
      <c r="N718" t="n" s="7">
        <v>44012.0</v>
      </c>
      <c r="O718" t="n" s="7">
        <v>44196.0</v>
      </c>
      <c r="P718" t="s" s="1">
        <v>3499</v>
      </c>
    </row>
    <row r="719" spans="1:16">
      <c r="A719" t="n" s="4">
        <v>714</v>
      </c>
      <c r="B719" s="2">
        <f>HYPERLINK("https://my.zakupki.prom.ua/remote/dispatcher/state_purchase_view/17853397", "UA-2020-07-14-002475-c")</f>
        <v/>
      </c>
      <c r="C719" t="s" s="2">
        <v>3245</v>
      </c>
      <c r="D719" s="2">
        <f>HYPERLINK("https://my.zakupki.prom.ua/remote/dispatcher/state_contracting_view/4817459", "UA-2020-07-14-002475-c-c1")</f>
        <v/>
      </c>
      <c r="E719" t="s" s="1">
        <v>2016</v>
      </c>
      <c r="F719" t="s" s="1">
        <v>2778</v>
      </c>
      <c r="G719" t="s" s="1">
        <v>2778</v>
      </c>
      <c r="H719" t="s" s="1">
        <v>690</v>
      </c>
      <c r="I719" t="s" s="1">
        <v>2361</v>
      </c>
      <c r="J719" t="s" s="1">
        <v>3302</v>
      </c>
      <c r="K719" t="s" s="1">
        <v>617</v>
      </c>
      <c r="L719" t="s" s="1">
        <v>629</v>
      </c>
      <c r="M719" t="n" s="5">
        <v>3764.3</v>
      </c>
      <c r="N719" t="n" s="7">
        <v>44022.0</v>
      </c>
      <c r="O719" t="n" s="7">
        <v>44196.0</v>
      </c>
      <c r="P719" t="s" s="1">
        <v>3499</v>
      </c>
    </row>
    <row r="720" spans="1:16">
      <c r="A720" t="n" s="4">
        <v>715</v>
      </c>
      <c r="B720" s="2">
        <f>HYPERLINK("https://my.zakupki.prom.ua/remote/dispatcher/state_purchase_view/19882812", "UA-2020-10-07-000301-a")</f>
        <v/>
      </c>
      <c r="C720" t="s" s="2">
        <v>3245</v>
      </c>
      <c r="D720" s="2">
        <f>HYPERLINK("https://my.zakupki.prom.ua/remote/dispatcher/state_contracting_view/5855927", "UA-2020-10-07-000301-a-a1")</f>
        <v/>
      </c>
      <c r="E720" t="s" s="1">
        <v>2241</v>
      </c>
      <c r="F720" t="s" s="1">
        <v>2625</v>
      </c>
      <c r="G720" t="s" s="1">
        <v>2625</v>
      </c>
      <c r="H720" t="s" s="1">
        <v>225</v>
      </c>
      <c r="I720" t="s" s="1">
        <v>2361</v>
      </c>
      <c r="J720" t="s" s="1">
        <v>3467</v>
      </c>
      <c r="K720" t="s" s="1">
        <v>766</v>
      </c>
      <c r="L720" t="s" s="1">
        <v>1442</v>
      </c>
      <c r="M720" t="n" s="5">
        <v>859.5</v>
      </c>
      <c r="N720" t="n" s="7">
        <v>44109.0</v>
      </c>
      <c r="O720" t="n" s="7">
        <v>44196.0</v>
      </c>
      <c r="P720" t="s" s="1">
        <v>3499</v>
      </c>
    </row>
    <row r="721" spans="1:16">
      <c r="A721" t="n" s="4">
        <v>716</v>
      </c>
      <c r="B721" s="2">
        <f>HYPERLINK("https://my.zakupki.prom.ua/remote/dispatcher/state_purchase_view/20115639", "UA-2020-10-15-004802-c")</f>
        <v/>
      </c>
      <c r="C721" t="s" s="2">
        <v>3245</v>
      </c>
      <c r="D721" s="2">
        <f>HYPERLINK("https://my.zakupki.prom.ua/remote/dispatcher/state_contracting_view/5882906", "UA-2020-10-15-004802-c-c1")</f>
        <v/>
      </c>
      <c r="E721" t="s" s="1">
        <v>1927</v>
      </c>
      <c r="F721" t="s" s="1">
        <v>3130</v>
      </c>
      <c r="G721" t="s" s="1">
        <v>3130</v>
      </c>
      <c r="H721" t="s" s="1">
        <v>1499</v>
      </c>
      <c r="I721" t="s" s="1">
        <v>2361</v>
      </c>
      <c r="J721" t="s" s="1">
        <v>2319</v>
      </c>
      <c r="K721" t="s" s="1">
        <v>359</v>
      </c>
      <c r="L721" t="s" s="1">
        <v>302</v>
      </c>
      <c r="M721" t="n" s="5">
        <v>9583.07</v>
      </c>
      <c r="N721" t="n" s="7">
        <v>44119.0</v>
      </c>
      <c r="O721" t="n" s="7">
        <v>44196.0</v>
      </c>
      <c r="P721" t="s" s="1">
        <v>3499</v>
      </c>
    </row>
    <row r="722" spans="1:16">
      <c r="A722" t="n" s="4">
        <v>717</v>
      </c>
      <c r="B722" s="2">
        <f>HYPERLINK("https://my.zakupki.prom.ua/remote/dispatcher/state_purchase_view/20280102", "UA-2020-10-20-006861-a")</f>
        <v/>
      </c>
      <c r="C722" t="s" s="2">
        <v>3245</v>
      </c>
      <c r="D722" s="2">
        <f>HYPERLINK("https://my.zakupki.prom.ua/remote/dispatcher/state_contracting_view/5961280", "UA-2020-10-20-006861-a-a1")</f>
        <v/>
      </c>
      <c r="E722" t="s" s="1">
        <v>2185</v>
      </c>
      <c r="F722" t="s" s="1">
        <v>2604</v>
      </c>
      <c r="G722" t="s" s="1">
        <v>2604</v>
      </c>
      <c r="H722" t="s" s="1">
        <v>221</v>
      </c>
      <c r="I722" t="s" s="1">
        <v>2361</v>
      </c>
      <c r="J722" t="s" s="1">
        <v>3467</v>
      </c>
      <c r="K722" t="s" s="1">
        <v>766</v>
      </c>
      <c r="L722" t="s" s="1">
        <v>1566</v>
      </c>
      <c r="M722" t="n" s="5">
        <v>10255.0</v>
      </c>
      <c r="N722" t="n" s="7">
        <v>44123.0</v>
      </c>
      <c r="O722" t="n" s="7">
        <v>44196.0</v>
      </c>
      <c r="P722" t="s" s="1">
        <v>3499</v>
      </c>
    </row>
    <row r="723" spans="1:16">
      <c r="A723" t="n" s="4">
        <v>718</v>
      </c>
      <c r="B723" s="2">
        <f>HYPERLINK("https://my.zakupki.prom.ua/remote/dispatcher/state_purchase_view/20293644", "UA-2020-10-21-000645-a")</f>
        <v/>
      </c>
      <c r="C723" t="s" s="2">
        <v>3245</v>
      </c>
      <c r="D723" s="2">
        <f>HYPERLINK("https://my.zakupki.prom.ua/remote/dispatcher/state_contracting_view/5968406", "UA-2020-10-21-000645-a-a1")</f>
        <v/>
      </c>
      <c r="E723" t="s" s="1">
        <v>1868</v>
      </c>
      <c r="F723" t="s" s="1">
        <v>2808</v>
      </c>
      <c r="G723" t="s" s="1">
        <v>3561</v>
      </c>
      <c r="H723" t="s" s="1">
        <v>690</v>
      </c>
      <c r="I723" t="s" s="1">
        <v>2361</v>
      </c>
      <c r="J723" t="s" s="1">
        <v>3403</v>
      </c>
      <c r="K723" t="s" s="1">
        <v>771</v>
      </c>
      <c r="L723" t="s" s="1">
        <v>1568</v>
      </c>
      <c r="M723" t="n" s="5">
        <v>8850.0</v>
      </c>
      <c r="N723" t="n" s="7">
        <v>44125.0</v>
      </c>
      <c r="O723" t="n" s="7">
        <v>44196.0</v>
      </c>
      <c r="P723" t="s" s="1">
        <v>3499</v>
      </c>
    </row>
    <row r="724" spans="1:16">
      <c r="A724" t="n" s="4">
        <v>719</v>
      </c>
      <c r="B724" s="2">
        <f>HYPERLINK("https://my.zakupki.prom.ua/remote/dispatcher/state_purchase_view/21854358", "UA-2020-12-08-000764-c")</f>
        <v/>
      </c>
      <c r="C724" t="s" s="2">
        <v>3245</v>
      </c>
      <c r="D724" s="2">
        <f>HYPERLINK("https://my.zakupki.prom.ua/remote/dispatcher/state_contracting_view/6705415", "UA-2020-12-08-000764-c-c1")</f>
        <v/>
      </c>
      <c r="E724" t="s" s="1">
        <v>2040</v>
      </c>
      <c r="F724" t="s" s="1">
        <v>2982</v>
      </c>
      <c r="G724" t="s" s="1">
        <v>2982</v>
      </c>
      <c r="H724" t="s" s="1">
        <v>830</v>
      </c>
      <c r="I724" t="s" s="1">
        <v>2361</v>
      </c>
      <c r="J724" t="s" s="1">
        <v>2358</v>
      </c>
      <c r="K724" t="s" s="1">
        <v>376</v>
      </c>
      <c r="L724" t="s" s="1">
        <v>1842</v>
      </c>
      <c r="M724" t="n" s="5">
        <v>70000.0</v>
      </c>
      <c r="N724" t="n" s="7">
        <v>44172.0</v>
      </c>
      <c r="O724" t="n" s="7">
        <v>44196.0</v>
      </c>
      <c r="P724" t="s" s="1">
        <v>3499</v>
      </c>
    </row>
    <row r="725" spans="1:16">
      <c r="A725" t="n" s="4">
        <v>720</v>
      </c>
      <c r="B725" s="2">
        <f>HYPERLINK("https://my.zakupki.prom.ua/remote/dispatcher/state_purchase_view/21096044", "UA-2020-11-16-006061-c")</f>
        <v/>
      </c>
      <c r="C725" t="s" s="2">
        <v>3245</v>
      </c>
      <c r="D725" s="2">
        <f>HYPERLINK("https://my.zakupki.prom.ua/remote/dispatcher/state_contracting_view/6352461", "UA-2020-11-16-006061-c-c1")</f>
        <v/>
      </c>
      <c r="E725" t="s" s="1">
        <v>316</v>
      </c>
      <c r="F725" t="s" s="1">
        <v>2970</v>
      </c>
      <c r="G725" t="s" s="1">
        <v>2970</v>
      </c>
      <c r="H725" t="s" s="1">
        <v>763</v>
      </c>
      <c r="I725" t="s" s="1">
        <v>2361</v>
      </c>
      <c r="J725" t="s" s="1">
        <v>2281</v>
      </c>
      <c r="K725" t="s" s="1">
        <v>612</v>
      </c>
      <c r="L725" t="s" s="1">
        <v>178</v>
      </c>
      <c r="M725" t="n" s="5">
        <v>5800.0</v>
      </c>
      <c r="N725" t="n" s="7">
        <v>44151.0</v>
      </c>
      <c r="O725" t="n" s="7">
        <v>44196.0</v>
      </c>
      <c r="P725" t="s" s="1">
        <v>3499</v>
      </c>
    </row>
    <row r="726" spans="1:16">
      <c r="A726" t="n" s="4">
        <v>721</v>
      </c>
      <c r="B726" s="2">
        <f>HYPERLINK("https://my.zakupki.prom.ua/remote/dispatcher/state_purchase_view/15860420", "UA-2020-03-19-003980-b")</f>
        <v/>
      </c>
      <c r="C726" t="s" s="2">
        <v>3245</v>
      </c>
      <c r="D726" s="2">
        <f>HYPERLINK("https://my.zakupki.prom.ua/remote/dispatcher/state_contracting_view/3972441", "UA-2020-03-19-003980-b-b1")</f>
        <v/>
      </c>
      <c r="E726" t="s" s="1">
        <v>1924</v>
      </c>
      <c r="F726" t="s" s="1">
        <v>692</v>
      </c>
      <c r="G726" t="s" s="1">
        <v>692</v>
      </c>
      <c r="H726" t="s" s="1">
        <v>691</v>
      </c>
      <c r="I726" t="s" s="1">
        <v>2361</v>
      </c>
      <c r="J726" t="s" s="1">
        <v>3402</v>
      </c>
      <c r="K726" t="s" s="1">
        <v>375</v>
      </c>
      <c r="L726" t="s" s="1">
        <v>164</v>
      </c>
      <c r="M726" t="n" s="5">
        <v>18596.6</v>
      </c>
      <c r="N726" t="n" s="7">
        <v>43906.0</v>
      </c>
      <c r="O726" t="n" s="7">
        <v>44196.0</v>
      </c>
      <c r="P726" t="s" s="1">
        <v>3499</v>
      </c>
    </row>
    <row r="727" spans="1:16">
      <c r="A727" t="n" s="4">
        <v>722</v>
      </c>
      <c r="B727" s="2">
        <f>HYPERLINK("https://my.zakupki.prom.ua/remote/dispatcher/state_purchase_view/15875086", "UA-2020-03-20-000685-b")</f>
        <v/>
      </c>
      <c r="C727" t="s" s="2">
        <v>3245</v>
      </c>
      <c r="D727" s="2">
        <f>HYPERLINK("https://my.zakupki.prom.ua/remote/dispatcher/state_contracting_view/3973251", "UA-2020-03-20-000685-b-b1")</f>
        <v/>
      </c>
      <c r="E727" t="s" s="1">
        <v>318</v>
      </c>
      <c r="F727" t="s" s="1">
        <v>2346</v>
      </c>
      <c r="G727" t="s" s="1">
        <v>2346</v>
      </c>
      <c r="H727" t="s" s="1">
        <v>445</v>
      </c>
      <c r="I727" t="s" s="1">
        <v>2361</v>
      </c>
      <c r="J727" t="s" s="1">
        <v>3417</v>
      </c>
      <c r="K727" t="s" s="1">
        <v>950</v>
      </c>
      <c r="L727" t="s" s="1">
        <v>3171</v>
      </c>
      <c r="M727" t="n" s="5">
        <v>3372.0</v>
      </c>
      <c r="N727" t="n" s="7">
        <v>43910.0</v>
      </c>
      <c r="O727" t="n" s="7">
        <v>44196.0</v>
      </c>
      <c r="P727" t="s" s="1">
        <v>3499</v>
      </c>
    </row>
    <row r="728" spans="1:16">
      <c r="A728" t="n" s="4">
        <v>723</v>
      </c>
      <c r="B728" s="2">
        <f>HYPERLINK("https://my.zakupki.prom.ua/remote/dispatcher/state_purchase_view/16458798", "UA-2020-04-23-002249-b")</f>
        <v/>
      </c>
      <c r="C728" t="s" s="2">
        <v>3245</v>
      </c>
      <c r="D728" s="2">
        <f>HYPERLINK("https://my.zakupki.prom.ua/remote/dispatcher/state_contracting_view/4182649", "UA-2020-04-23-002249-b-b1")</f>
        <v/>
      </c>
      <c r="E728" t="s" s="1">
        <v>578</v>
      </c>
      <c r="F728" t="s" s="1">
        <v>2466</v>
      </c>
      <c r="G728" t="s" s="1">
        <v>2466</v>
      </c>
      <c r="H728" t="s" s="1">
        <v>718</v>
      </c>
      <c r="I728" t="s" s="1">
        <v>2361</v>
      </c>
      <c r="J728" t="s" s="1">
        <v>3392</v>
      </c>
      <c r="K728" t="s" s="1">
        <v>428</v>
      </c>
      <c r="L728" t="s" s="1">
        <v>174</v>
      </c>
      <c r="M728" t="n" s="5">
        <v>1271.2</v>
      </c>
      <c r="N728" t="n" s="7">
        <v>43943.0</v>
      </c>
      <c r="O728" t="n" s="7">
        <v>44196.0</v>
      </c>
      <c r="P728" t="s" s="1">
        <v>3499</v>
      </c>
    </row>
    <row r="729" spans="1:16">
      <c r="A729" t="n" s="4">
        <v>724</v>
      </c>
      <c r="B729" s="2">
        <f>HYPERLINK("https://my.zakupki.prom.ua/remote/dispatcher/state_purchase_view/16303120", "UA-2020-04-15-005987-b")</f>
        <v/>
      </c>
      <c r="C729" t="s" s="2">
        <v>3245</v>
      </c>
      <c r="D729" s="2">
        <f>HYPERLINK("https://my.zakupki.prom.ua/remote/dispatcher/state_contracting_view/4124035", "UA-2020-04-15-005987-b-b1")</f>
        <v/>
      </c>
      <c r="E729" t="s" s="1">
        <v>899</v>
      </c>
      <c r="F729" t="s" s="1">
        <v>3326</v>
      </c>
      <c r="G729" t="s" s="1">
        <v>2378</v>
      </c>
      <c r="H729" t="s" s="1">
        <v>1051</v>
      </c>
      <c r="I729" t="s" s="1">
        <v>2361</v>
      </c>
      <c r="J729" t="s" s="1">
        <v>3389</v>
      </c>
      <c r="K729" t="s" s="1">
        <v>956</v>
      </c>
      <c r="L729" t="s" s="1">
        <v>146</v>
      </c>
      <c r="M729" t="n" s="5">
        <v>156355.0</v>
      </c>
      <c r="N729" t="n" s="7">
        <v>43936.0</v>
      </c>
      <c r="O729" t="n" s="7">
        <v>44196.0</v>
      </c>
      <c r="P729" t="s" s="1">
        <v>3499</v>
      </c>
    </row>
    <row r="730" spans="1:16">
      <c r="A730" t="n" s="4">
        <v>725</v>
      </c>
      <c r="B730" s="2">
        <f>HYPERLINK("https://my.zakupki.prom.ua/remote/dispatcher/state_purchase_view/16359059", "UA-2020-04-16-008342-b")</f>
        <v/>
      </c>
      <c r="C730" t="s" s="2">
        <v>3245</v>
      </c>
      <c r="D730" s="2">
        <f>HYPERLINK("https://my.zakupki.prom.ua/remote/dispatcher/state_contracting_view/4141259", "UA-2020-04-16-008342-b-b1")</f>
        <v/>
      </c>
      <c r="E730" t="s" s="1">
        <v>329</v>
      </c>
      <c r="F730" t="s" s="1">
        <v>2330</v>
      </c>
      <c r="G730" t="s" s="1">
        <v>2330</v>
      </c>
      <c r="H730" t="s" s="1">
        <v>703</v>
      </c>
      <c r="I730" t="s" s="1">
        <v>2361</v>
      </c>
      <c r="J730" t="s" s="1">
        <v>3392</v>
      </c>
      <c r="K730" t="s" s="1">
        <v>428</v>
      </c>
      <c r="L730" t="s" s="1">
        <v>158</v>
      </c>
      <c r="M730" t="n" s="5">
        <v>9437.86</v>
      </c>
      <c r="N730" t="n" s="7">
        <v>43936.0</v>
      </c>
      <c r="O730" t="n" s="7">
        <v>44196.0</v>
      </c>
      <c r="P730" t="s" s="1">
        <v>3499</v>
      </c>
    </row>
    <row r="731" spans="1:16">
      <c r="A731" t="n" s="4">
        <v>726</v>
      </c>
      <c r="B731" s="2">
        <f>HYPERLINK("https://my.zakupki.prom.ua/remote/dispatcher/state_purchase_view/16404814", "UA-2020-04-17-008652-b")</f>
        <v/>
      </c>
      <c r="C731" t="s" s="2">
        <v>3245</v>
      </c>
      <c r="D731" s="2">
        <f>HYPERLINK("https://my.zakupki.prom.ua/remote/dispatcher/state_contracting_view/4159279", "UA-2020-04-17-008652-b-b1")</f>
        <v/>
      </c>
      <c r="E731" t="s" s="1">
        <v>1609</v>
      </c>
      <c r="F731" t="s" s="1">
        <v>2310</v>
      </c>
      <c r="G731" t="s" s="1">
        <v>2310</v>
      </c>
      <c r="H731" t="s" s="1">
        <v>703</v>
      </c>
      <c r="I731" t="s" s="1">
        <v>2361</v>
      </c>
      <c r="J731" t="s" s="1">
        <v>3392</v>
      </c>
      <c r="K731" t="s" s="1">
        <v>428</v>
      </c>
      <c r="L731" t="s" s="1">
        <v>165</v>
      </c>
      <c r="M731" t="n" s="5">
        <v>62875.65</v>
      </c>
      <c r="N731" t="n" s="7">
        <v>43938.0</v>
      </c>
      <c r="O731" t="n" s="7">
        <v>44196.0</v>
      </c>
      <c r="P731" t="s" s="1">
        <v>3499</v>
      </c>
    </row>
    <row r="732" spans="1:16">
      <c r="A732" t="n" s="4">
        <v>727</v>
      </c>
      <c r="B732" s="2">
        <f>HYPERLINK("https://my.zakupki.prom.ua/remote/dispatcher/state_purchase_view/16605135", "UA-2020-05-08-002429-b")</f>
        <v/>
      </c>
      <c r="C732" t="s" s="2">
        <v>3245</v>
      </c>
      <c r="D732" s="2">
        <f>HYPERLINK("https://my.zakupki.prom.ua/remote/dispatcher/state_contracting_view/4247276", "UA-2020-05-08-002429-b-b1")</f>
        <v/>
      </c>
      <c r="E732" t="s" s="1">
        <v>1138</v>
      </c>
      <c r="F732" t="s" s="1">
        <v>1664</v>
      </c>
      <c r="G732" t="s" s="1">
        <v>3325</v>
      </c>
      <c r="H732" t="s" s="1">
        <v>1665</v>
      </c>
      <c r="I732" t="s" s="1">
        <v>2361</v>
      </c>
      <c r="J732" t="s" s="1">
        <v>3456</v>
      </c>
      <c r="K732" t="s" s="1">
        <v>800</v>
      </c>
      <c r="L732" t="s" s="1">
        <v>1476</v>
      </c>
      <c r="M732" t="n" s="5">
        <v>6947.16</v>
      </c>
      <c r="N732" t="n" s="7">
        <v>43959.0</v>
      </c>
      <c r="O732" t="n" s="7">
        <v>44196.0</v>
      </c>
      <c r="P732" t="s" s="1">
        <v>3499</v>
      </c>
    </row>
    <row r="733" spans="1:16">
      <c r="A733" t="n" s="4">
        <v>728</v>
      </c>
      <c r="B733" s="2">
        <f>HYPERLINK("https://my.zakupki.prom.ua/remote/dispatcher/state_purchase_view/15485703", "UA-2020-02-26-001051-c")</f>
        <v/>
      </c>
      <c r="C733" t="s" s="2">
        <v>3245</v>
      </c>
      <c r="D733" s="2">
        <f>HYPERLINK("https://my.zakupki.prom.ua/remote/dispatcher/state_contracting_view/3856099", "UA-2020-02-26-001051-c-c1")</f>
        <v/>
      </c>
      <c r="E733" t="s" s="1">
        <v>368</v>
      </c>
      <c r="F733" t="s" s="1">
        <v>723</v>
      </c>
      <c r="G733" t="s" s="1">
        <v>723</v>
      </c>
      <c r="H733" t="s" s="1">
        <v>723</v>
      </c>
      <c r="I733" t="s" s="1">
        <v>2361</v>
      </c>
      <c r="J733" t="s" s="1">
        <v>3392</v>
      </c>
      <c r="K733" t="s" s="1">
        <v>428</v>
      </c>
      <c r="L733" t="s" s="1">
        <v>917</v>
      </c>
      <c r="M733" t="n" s="5">
        <v>212.12</v>
      </c>
      <c r="N733" t="n" s="7">
        <v>43886.0</v>
      </c>
      <c r="O733" t="n" s="7">
        <v>44196.0</v>
      </c>
      <c r="P733" t="s" s="1">
        <v>3499</v>
      </c>
    </row>
    <row r="734" spans="1:16">
      <c r="A734" t="n" s="4">
        <v>729</v>
      </c>
      <c r="B734" s="2">
        <f>HYPERLINK("https://my.zakupki.prom.ua/remote/dispatcher/state_purchase_view/15694106", "UA-2020-03-11-001185-b")</f>
        <v/>
      </c>
      <c r="C734" t="s" s="2">
        <v>3245</v>
      </c>
      <c r="D734" s="2">
        <f>HYPERLINK("https://my.zakupki.prom.ua/remote/dispatcher/state_contracting_view/3917309", "UA-2020-03-11-001185-b-b1")</f>
        <v/>
      </c>
      <c r="E734" t="s" s="1">
        <v>2113</v>
      </c>
      <c r="F734" t="s" s="1">
        <v>4</v>
      </c>
      <c r="G734" t="s" s="1">
        <v>4</v>
      </c>
      <c r="H734" t="s" s="1">
        <v>755</v>
      </c>
      <c r="I734" t="s" s="1">
        <v>2361</v>
      </c>
      <c r="J734" t="s" s="1">
        <v>3374</v>
      </c>
      <c r="K734" t="s" s="1">
        <v>184</v>
      </c>
      <c r="L734" t="s" s="1">
        <v>1321</v>
      </c>
      <c r="M734" t="n" s="5">
        <v>1999.18</v>
      </c>
      <c r="N734" t="n" s="7">
        <v>43901.0</v>
      </c>
      <c r="O734" t="n" s="7">
        <v>44196.0</v>
      </c>
      <c r="P734" t="s" s="1">
        <v>3499</v>
      </c>
    </row>
    <row r="735" spans="1:16">
      <c r="A735" t="n" s="4">
        <v>730</v>
      </c>
      <c r="B735" s="2">
        <f>HYPERLINK("https://my.zakupki.prom.ua/remote/dispatcher/state_purchase_view/15693585", "UA-2020-03-11-001110-b")</f>
        <v/>
      </c>
      <c r="C735" t="s" s="2">
        <v>3245</v>
      </c>
      <c r="D735" s="2">
        <f>HYPERLINK("https://my.zakupki.prom.ua/remote/dispatcher/state_contracting_view/3917158", "UA-2020-03-11-001110-b-b1")</f>
        <v/>
      </c>
      <c r="E735" t="s" s="1">
        <v>2229</v>
      </c>
      <c r="F735" t="s" s="1">
        <v>3216</v>
      </c>
      <c r="G735" t="s" s="1">
        <v>3216</v>
      </c>
      <c r="H735" t="s" s="1">
        <v>1004</v>
      </c>
      <c r="I735" t="s" s="1">
        <v>2361</v>
      </c>
      <c r="J735" t="s" s="1">
        <v>2367</v>
      </c>
      <c r="K735" t="s" s="1">
        <v>450</v>
      </c>
      <c r="L735" t="s" s="1">
        <v>1349</v>
      </c>
      <c r="M735" t="n" s="5">
        <v>4560.0</v>
      </c>
      <c r="N735" t="n" s="7">
        <v>43901.0</v>
      </c>
      <c r="O735" t="n" s="7">
        <v>44196.0</v>
      </c>
      <c r="P735" t="s" s="1">
        <v>3499</v>
      </c>
    </row>
    <row r="736" spans="1:16">
      <c r="A736" t="n" s="4">
        <v>731</v>
      </c>
      <c r="B736" s="2">
        <f>HYPERLINK("https://my.zakupki.prom.ua/remote/dispatcher/state_purchase_view/14860978", "UA-2020-01-27-003529-a")</f>
        <v/>
      </c>
      <c r="C736" t="s" s="2">
        <v>3245</v>
      </c>
      <c r="D736" s="2">
        <f>HYPERLINK("https://my.zakupki.prom.ua/remote/dispatcher/state_contracting_view/3694970", "UA-2020-01-27-003529-a-a1")</f>
        <v/>
      </c>
      <c r="E736" t="s" s="1">
        <v>2012</v>
      </c>
      <c r="F736" t="s" s="1">
        <v>601</v>
      </c>
      <c r="G736" t="s" s="1">
        <v>3165</v>
      </c>
      <c r="H736" t="s" s="1">
        <v>601</v>
      </c>
      <c r="I736" t="s" s="1">
        <v>2361</v>
      </c>
      <c r="J736" t="s" s="1">
        <v>3217</v>
      </c>
      <c r="K736" t="s" s="1">
        <v>615</v>
      </c>
      <c r="L736" t="s" s="1">
        <v>160</v>
      </c>
      <c r="M736" t="n" s="5">
        <v>54000.0</v>
      </c>
      <c r="N736" t="n" s="7">
        <v>43857.0</v>
      </c>
      <c r="O736" t="n" s="7">
        <v>44196.0</v>
      </c>
      <c r="P736" t="s" s="1">
        <v>3499</v>
      </c>
    </row>
    <row r="737" spans="1:16">
      <c r="A737" t="n" s="4">
        <v>732</v>
      </c>
      <c r="B737" s="2">
        <f>HYPERLINK("https://my.zakupki.prom.ua/remote/dispatcher/state_purchase_view/17067254", "UA-2020-06-04-008181-b")</f>
        <v/>
      </c>
      <c r="C737" t="s" s="2">
        <v>3245</v>
      </c>
      <c r="D737" s="2">
        <f>HYPERLINK("https://my.zakupki.prom.ua/remote/dispatcher/state_contracting_view/4453423", "UA-2020-06-04-008181-b-b1")</f>
        <v/>
      </c>
      <c r="E737" t="s" s="1">
        <v>1416</v>
      </c>
      <c r="F737" t="s" s="1">
        <v>625</v>
      </c>
      <c r="G737" t="s" s="1">
        <v>625</v>
      </c>
      <c r="H737" t="s" s="1">
        <v>624</v>
      </c>
      <c r="I737" t="s" s="1">
        <v>2361</v>
      </c>
      <c r="J737" t="s" s="1">
        <v>3393</v>
      </c>
      <c r="K737" t="s" s="1">
        <v>671</v>
      </c>
      <c r="L737" t="s" s="1">
        <v>585</v>
      </c>
      <c r="M737" t="n" s="5">
        <v>5042.33</v>
      </c>
      <c r="N737" t="n" s="7">
        <v>43984.0</v>
      </c>
      <c r="O737" t="n" s="7">
        <v>44196.0</v>
      </c>
      <c r="P737" t="s" s="1">
        <v>3499</v>
      </c>
    </row>
    <row r="738" spans="1:16">
      <c r="A738" t="n" s="4">
        <v>733</v>
      </c>
      <c r="B738" s="2">
        <f>HYPERLINK("https://my.zakupki.prom.ua/remote/dispatcher/state_purchase_view/17525315", "UA-2020-06-26-001920-a")</f>
        <v/>
      </c>
      <c r="C738" t="s" s="2">
        <v>3245</v>
      </c>
      <c r="D738" s="2">
        <f>HYPERLINK("https://my.zakupki.prom.ua/remote/dispatcher/state_contracting_view/4665507", "UA-2020-06-26-001920-a-a1")</f>
        <v/>
      </c>
      <c r="E738" t="s" s="1">
        <v>803</v>
      </c>
      <c r="F738" t="s" s="1">
        <v>2404</v>
      </c>
      <c r="G738" t="s" s="1">
        <v>2404</v>
      </c>
      <c r="H738" t="s" s="1">
        <v>604</v>
      </c>
      <c r="I738" t="s" s="1">
        <v>2361</v>
      </c>
      <c r="J738" t="s" s="1">
        <v>3256</v>
      </c>
      <c r="K738" t="s" s="1">
        <v>628</v>
      </c>
      <c r="L738" t="s" s="1">
        <v>418</v>
      </c>
      <c r="M738" t="n" s="5">
        <v>108.93</v>
      </c>
      <c r="N738" t="n" s="7">
        <v>44007.0</v>
      </c>
      <c r="O738" t="n" s="7">
        <v>44196.0</v>
      </c>
      <c r="P738" t="s" s="1">
        <v>3499</v>
      </c>
    </row>
    <row r="739" spans="1:16">
      <c r="A739" t="n" s="4">
        <v>734</v>
      </c>
      <c r="B739" s="2">
        <f>HYPERLINK("https://my.zakupki.prom.ua/remote/dispatcher/state_purchase_view/17284996", "UA-2020-06-16-008121-c")</f>
        <v/>
      </c>
      <c r="C739" t="s" s="2">
        <v>3245</v>
      </c>
      <c r="D739" s="2">
        <f>HYPERLINK("https://my.zakupki.prom.ua/remote/dispatcher/state_contracting_view/4553568", "UA-2020-06-16-008121-c-c1")</f>
        <v/>
      </c>
      <c r="E739" t="s" s="1">
        <v>1653</v>
      </c>
      <c r="F739" t="s" s="1">
        <v>2423</v>
      </c>
      <c r="G739" t="s" s="1">
        <v>2363</v>
      </c>
      <c r="H739" t="s" s="1">
        <v>1144</v>
      </c>
      <c r="I739" t="s" s="1">
        <v>2361</v>
      </c>
      <c r="J739" t="s" s="1">
        <v>3220</v>
      </c>
      <c r="K739" t="s" s="1">
        <v>588</v>
      </c>
      <c r="L739" t="s" s="1">
        <v>300</v>
      </c>
      <c r="M739" t="n" s="5">
        <v>360.0</v>
      </c>
      <c r="N739" t="n" s="7">
        <v>43998.0</v>
      </c>
      <c r="O739" t="n" s="7">
        <v>44196.0</v>
      </c>
      <c r="P739" t="s" s="1">
        <v>3499</v>
      </c>
    </row>
    <row r="740" spans="1:16">
      <c r="A740" t="n" s="4">
        <v>735</v>
      </c>
      <c r="B740" s="2">
        <f>HYPERLINK("https://my.zakupki.prom.ua/remote/dispatcher/state_purchase_view/16877967", "UA-2020-05-26-008207-b")</f>
        <v/>
      </c>
      <c r="C740" t="s" s="2">
        <v>3245</v>
      </c>
      <c r="D740" s="2">
        <f>HYPERLINK("https://my.zakupki.prom.ua/remote/dispatcher/state_contracting_view/4368345", "UA-2020-05-26-008207-b-b1")</f>
        <v/>
      </c>
      <c r="E740" t="s" s="1">
        <v>429</v>
      </c>
      <c r="F740" t="s" s="1">
        <v>2394</v>
      </c>
      <c r="G740" t="s" s="1">
        <v>2394</v>
      </c>
      <c r="H740" t="s" s="1">
        <v>1144</v>
      </c>
      <c r="I740" t="s" s="1">
        <v>2361</v>
      </c>
      <c r="J740" t="s" s="1">
        <v>3383</v>
      </c>
      <c r="K740" t="s" s="1">
        <v>991</v>
      </c>
      <c r="L740" t="s" s="1">
        <v>227</v>
      </c>
      <c r="M740" t="n" s="5">
        <v>650.0</v>
      </c>
      <c r="N740" t="n" s="7">
        <v>43973.0</v>
      </c>
      <c r="O740" t="n" s="7">
        <v>44196.0</v>
      </c>
      <c r="P740" t="s" s="1">
        <v>3499</v>
      </c>
    </row>
    <row r="741" spans="1:16">
      <c r="A741" t="n" s="4">
        <v>736</v>
      </c>
      <c r="B741" s="2">
        <f>HYPERLINK("https://my.zakupki.prom.ua/remote/dispatcher/state_purchase_view/16876282", "UA-2020-05-26-007625-b")</f>
        <v/>
      </c>
      <c r="C741" t="s" s="2">
        <v>3245</v>
      </c>
      <c r="D741" s="2">
        <f>HYPERLINK("https://my.zakupki.prom.ua/remote/dispatcher/state_contracting_view/4368365", "UA-2020-05-26-007625-b-b1")</f>
        <v/>
      </c>
      <c r="E741" t="s" s="1">
        <v>70</v>
      </c>
      <c r="F741" t="s" s="1">
        <v>2435</v>
      </c>
      <c r="G741" t="s" s="1">
        <v>2435</v>
      </c>
      <c r="H741" t="s" s="1">
        <v>690</v>
      </c>
      <c r="I741" t="s" s="1">
        <v>2361</v>
      </c>
      <c r="J741" t="s" s="1">
        <v>3392</v>
      </c>
      <c r="K741" t="s" s="1">
        <v>428</v>
      </c>
      <c r="L741" t="s" s="1">
        <v>223</v>
      </c>
      <c r="M741" t="n" s="5">
        <v>4605.57</v>
      </c>
      <c r="N741" t="n" s="7">
        <v>43973.0</v>
      </c>
      <c r="O741" t="n" s="7">
        <v>44196.0</v>
      </c>
      <c r="P741" t="s" s="1">
        <v>3499</v>
      </c>
    </row>
    <row r="742" spans="1:16">
      <c r="A742" t="n" s="4">
        <v>737</v>
      </c>
      <c r="B742" s="2">
        <f>HYPERLINK("https://my.zakupki.prom.ua/remote/dispatcher/state_purchase_view/16888431", "UA-2020-05-27-002570-b")</f>
        <v/>
      </c>
      <c r="C742" t="s" s="2">
        <v>3245</v>
      </c>
      <c r="D742" s="2">
        <f>HYPERLINK("https://my.zakupki.prom.ua/remote/dispatcher/state_contracting_view/4373075", "UA-2020-05-27-002570-b-b1")</f>
        <v/>
      </c>
      <c r="E742" t="s" s="1">
        <v>924</v>
      </c>
      <c r="F742" t="s" s="1">
        <v>2437</v>
      </c>
      <c r="G742" t="s" s="1">
        <v>2437</v>
      </c>
      <c r="H742" t="s" s="1">
        <v>690</v>
      </c>
      <c r="I742" t="s" s="1">
        <v>2361</v>
      </c>
      <c r="J742" t="s" s="1">
        <v>3402</v>
      </c>
      <c r="K742" t="s" s="1">
        <v>375</v>
      </c>
      <c r="L742" t="s" s="1">
        <v>342</v>
      </c>
      <c r="M742" t="n" s="5">
        <v>4376.0</v>
      </c>
      <c r="N742" t="n" s="7">
        <v>43976.0</v>
      </c>
      <c r="O742" t="n" s="7">
        <v>44196.0</v>
      </c>
      <c r="P742" t="s" s="1">
        <v>3499</v>
      </c>
    </row>
    <row r="743" spans="1:16">
      <c r="A743" t="n" s="4">
        <v>738</v>
      </c>
      <c r="B743" s="2">
        <f>HYPERLINK("https://my.zakupki.prom.ua/remote/dispatcher/state_purchase_view/17839583", "UA-2020-07-13-006725-c")</f>
        <v/>
      </c>
      <c r="C743" t="s" s="2">
        <v>3245</v>
      </c>
      <c r="D743" s="2">
        <f>HYPERLINK("https://my.zakupki.prom.ua/remote/dispatcher/state_contracting_view/4810917", "UA-2020-07-13-006725-c-c1")</f>
        <v/>
      </c>
      <c r="E743" t="s" s="1">
        <v>1246</v>
      </c>
      <c r="F743" t="s" s="1">
        <v>3094</v>
      </c>
      <c r="G743" t="s" s="1">
        <v>3094</v>
      </c>
      <c r="H743" t="s" s="1">
        <v>1051</v>
      </c>
      <c r="I743" t="s" s="1">
        <v>2361</v>
      </c>
      <c r="J743" t="s" s="1">
        <v>3207</v>
      </c>
      <c r="K743" t="s" s="1">
        <v>475</v>
      </c>
      <c r="L743" t="s" s="1">
        <v>56</v>
      </c>
      <c r="M743" t="n" s="5">
        <v>679.0</v>
      </c>
      <c r="N743" t="n" s="7">
        <v>44025.0</v>
      </c>
      <c r="O743" t="n" s="7">
        <v>44196.0</v>
      </c>
      <c r="P743" t="s" s="1">
        <v>3499</v>
      </c>
    </row>
    <row r="744" spans="1:16">
      <c r="A744" t="n" s="4">
        <v>739</v>
      </c>
      <c r="B744" s="2">
        <f>HYPERLINK("https://my.zakupki.prom.ua/remote/dispatcher/state_purchase_view/18803126", "UA-2020-08-26-007370-a")</f>
        <v/>
      </c>
      <c r="C744" t="s" s="2">
        <v>3245</v>
      </c>
      <c r="D744" s="2">
        <f>HYPERLINK("https://my.zakupki.prom.ua/remote/dispatcher/state_contracting_view/5263704", "UA-2020-08-26-007370-a-a1")</f>
        <v/>
      </c>
      <c r="E744" t="s" s="1">
        <v>2082</v>
      </c>
      <c r="F744" t="s" s="1">
        <v>2751</v>
      </c>
      <c r="G744" t="s" s="1">
        <v>2751</v>
      </c>
      <c r="H744" t="s" s="1">
        <v>690</v>
      </c>
      <c r="I744" t="s" s="1">
        <v>2361</v>
      </c>
      <c r="J744" t="s" s="1">
        <v>2357</v>
      </c>
      <c r="K744" t="s" s="1">
        <v>713</v>
      </c>
      <c r="L744" t="s" s="1">
        <v>1189</v>
      </c>
      <c r="M744" t="n" s="5">
        <v>43140.0</v>
      </c>
      <c r="N744" t="n" s="7">
        <v>44069.0</v>
      </c>
      <c r="O744" t="n" s="7">
        <v>44196.0</v>
      </c>
      <c r="P744" t="s" s="1">
        <v>3499</v>
      </c>
    </row>
    <row r="745" spans="1:16">
      <c r="A745" t="n" s="4">
        <v>740</v>
      </c>
      <c r="B745" s="2">
        <f>HYPERLINK("https://my.zakupki.prom.ua/remote/dispatcher/state_purchase_view/18823057", "UA-2020-08-27-003299-a")</f>
        <v/>
      </c>
      <c r="C745" t="s" s="2">
        <v>3245</v>
      </c>
      <c r="D745" s="2">
        <f>HYPERLINK("https://my.zakupki.prom.ua/remote/dispatcher/state_contracting_view/5272804", "UA-2020-08-27-003299-a-a1")</f>
        <v/>
      </c>
      <c r="E745" t="s" s="1">
        <v>2268</v>
      </c>
      <c r="F745" t="s" s="1">
        <v>3081</v>
      </c>
      <c r="G745" t="s" s="1">
        <v>3081</v>
      </c>
      <c r="H745" t="s" s="1">
        <v>1028</v>
      </c>
      <c r="I745" t="s" s="1">
        <v>2361</v>
      </c>
      <c r="J745" t="s" s="1">
        <v>2286</v>
      </c>
      <c r="K745" t="s" s="1">
        <v>54</v>
      </c>
      <c r="L745" t="s" s="1">
        <v>263</v>
      </c>
      <c r="M745" t="n" s="5">
        <v>42000.0</v>
      </c>
      <c r="N745" t="n" s="7">
        <v>44069.0</v>
      </c>
      <c r="O745" t="n" s="7">
        <v>44196.0</v>
      </c>
      <c r="P745" t="s" s="1">
        <v>3499</v>
      </c>
    </row>
    <row r="746" spans="1:16">
      <c r="A746" t="n" s="4">
        <v>741</v>
      </c>
      <c r="B746" s="2">
        <f>HYPERLINK("https://my.zakupki.prom.ua/remote/dispatcher/state_purchase_view/18778808", "UA-2020-08-26-000548-a")</f>
        <v/>
      </c>
      <c r="C746" t="s" s="2">
        <v>3245</v>
      </c>
      <c r="D746" s="2">
        <f>HYPERLINK("https://my.zakupki.prom.ua/remote/dispatcher/state_contracting_view/5252649", "UA-2020-08-26-000548-a-a1")</f>
        <v/>
      </c>
      <c r="E746" t="s" s="1">
        <v>892</v>
      </c>
      <c r="F746" t="s" s="1">
        <v>3148</v>
      </c>
      <c r="G746" t="s" s="1">
        <v>3148</v>
      </c>
      <c r="H746" t="s" s="1">
        <v>1759</v>
      </c>
      <c r="I746" t="s" s="1">
        <v>2361</v>
      </c>
      <c r="J746" t="s" s="1">
        <v>3390</v>
      </c>
      <c r="K746" t="s" s="1">
        <v>816</v>
      </c>
      <c r="L746" t="s" s="1">
        <v>1367</v>
      </c>
      <c r="M746" t="n" s="5">
        <v>49980.0</v>
      </c>
      <c r="N746" t="n" s="7">
        <v>44068.0</v>
      </c>
      <c r="O746" t="n" s="7">
        <v>44196.0</v>
      </c>
      <c r="P746" t="s" s="1">
        <v>3499</v>
      </c>
    </row>
    <row r="747" spans="1:16">
      <c r="A747" t="n" s="4">
        <v>742</v>
      </c>
      <c r="B747" s="2">
        <f>HYPERLINK("https://my.zakupki.prom.ua/remote/dispatcher/state_purchase_view/18799590", "UA-2020-08-26-006354-a")</f>
        <v/>
      </c>
      <c r="C747" t="s" s="2">
        <v>3245</v>
      </c>
      <c r="D747" s="2">
        <f>HYPERLINK("https://my.zakupki.prom.ua/remote/dispatcher/state_contracting_view/5261682", "UA-2020-08-26-006354-a-a1")</f>
        <v/>
      </c>
      <c r="E747" t="s" s="1">
        <v>2225</v>
      </c>
      <c r="F747" t="s" s="1">
        <v>3107</v>
      </c>
      <c r="G747" t="s" s="1">
        <v>3107</v>
      </c>
      <c r="H747" t="s" s="1">
        <v>1307</v>
      </c>
      <c r="I747" t="s" s="1">
        <v>2361</v>
      </c>
      <c r="J747" t="s" s="1">
        <v>2286</v>
      </c>
      <c r="K747" t="s" s="1">
        <v>54</v>
      </c>
      <c r="L747" t="s" s="1">
        <v>265</v>
      </c>
      <c r="M747" t="n" s="5">
        <v>49920.0</v>
      </c>
      <c r="N747" t="n" s="7">
        <v>44069.0</v>
      </c>
      <c r="O747" t="n" s="7">
        <v>44196.0</v>
      </c>
      <c r="P747" t="s" s="1">
        <v>3499</v>
      </c>
    </row>
    <row r="748" spans="1:16">
      <c r="A748" t="n" s="4">
        <v>743</v>
      </c>
      <c r="B748" s="2">
        <f>HYPERLINK("https://my.zakupki.prom.ua/remote/dispatcher/state_purchase_view/19120471", "UA-2020-09-09-002436-b")</f>
        <v/>
      </c>
      <c r="C748" t="s" s="2">
        <v>3245</v>
      </c>
      <c r="D748" s="2">
        <f>HYPERLINK("https://my.zakupki.prom.ua/remote/dispatcher/state_contracting_view/5413251", "UA-2020-09-09-002436-b-b1")</f>
        <v/>
      </c>
      <c r="E748" t="s" s="1">
        <v>1967</v>
      </c>
      <c r="F748" t="s" s="1">
        <v>2628</v>
      </c>
      <c r="G748" t="s" s="1">
        <v>2628</v>
      </c>
      <c r="H748" t="s" s="1">
        <v>225</v>
      </c>
      <c r="I748" t="s" s="1">
        <v>2361</v>
      </c>
      <c r="J748" t="s" s="1">
        <v>3467</v>
      </c>
      <c r="K748" t="s" s="1">
        <v>766</v>
      </c>
      <c r="L748" t="s" s="1">
        <v>1255</v>
      </c>
      <c r="M748" t="n" s="5">
        <v>1103.0</v>
      </c>
      <c r="N748" t="n" s="7">
        <v>44081.0</v>
      </c>
      <c r="O748" t="n" s="7">
        <v>44196.0</v>
      </c>
      <c r="P748" t="s" s="1">
        <v>3499</v>
      </c>
    </row>
    <row r="749" spans="1:16">
      <c r="A749" t="n" s="4">
        <v>744</v>
      </c>
      <c r="B749" s="2">
        <f>HYPERLINK("https://my.zakupki.prom.ua/remote/dispatcher/state_purchase_view/17507168", "UA-2020-06-25-006925-a")</f>
        <v/>
      </c>
      <c r="C749" t="s" s="2">
        <v>3245</v>
      </c>
      <c r="D749" s="2">
        <f>HYPERLINK("https://my.zakupki.prom.ua/remote/dispatcher/state_contracting_view/4656528", "UA-2020-06-25-006925-a-a1")</f>
        <v/>
      </c>
      <c r="E749" t="s" s="1">
        <v>1912</v>
      </c>
      <c r="F749" t="s" s="1">
        <v>2414</v>
      </c>
      <c r="G749" t="s" s="1">
        <v>2414</v>
      </c>
      <c r="H749" t="s" s="1">
        <v>690</v>
      </c>
      <c r="I749" t="s" s="1">
        <v>2361</v>
      </c>
      <c r="J749" t="s" s="1">
        <v>3444</v>
      </c>
      <c r="K749" t="s" s="1">
        <v>283</v>
      </c>
      <c r="L749" t="s" s="1">
        <v>3211</v>
      </c>
      <c r="M749" t="n" s="5">
        <v>3500.0</v>
      </c>
      <c r="N749" t="n" s="7">
        <v>44006.0</v>
      </c>
      <c r="O749" t="n" s="7">
        <v>44196.0</v>
      </c>
      <c r="P749" t="s" s="1">
        <v>3499</v>
      </c>
    </row>
    <row r="750" spans="1:16">
      <c r="A750" t="n" s="4">
        <v>745</v>
      </c>
      <c r="B750" s="2">
        <f>HYPERLINK("https://my.zakupki.prom.ua/remote/dispatcher/state_purchase_view/17714040", "UA-2020-07-07-004891-c")</f>
        <v/>
      </c>
      <c r="C750" t="s" s="2">
        <v>3245</v>
      </c>
      <c r="D750" s="2">
        <f>HYPERLINK("https://my.zakupki.prom.ua/remote/dispatcher/state_contracting_view/4752358", "UA-2020-07-07-004891-c-c1")</f>
        <v/>
      </c>
      <c r="E750" t="s" s="1">
        <v>2020</v>
      </c>
      <c r="F750" t="s" s="1">
        <v>2752</v>
      </c>
      <c r="G750" t="s" s="1">
        <v>2752</v>
      </c>
      <c r="H750" t="s" s="1">
        <v>690</v>
      </c>
      <c r="I750" t="s" s="1">
        <v>2361</v>
      </c>
      <c r="J750" t="s" s="1">
        <v>3402</v>
      </c>
      <c r="K750" t="s" s="1">
        <v>375</v>
      </c>
      <c r="L750" t="s" s="1">
        <v>532</v>
      </c>
      <c r="M750" t="n" s="5">
        <v>474.55</v>
      </c>
      <c r="N750" t="n" s="7">
        <v>44019.0</v>
      </c>
      <c r="O750" t="n" s="7">
        <v>44196.0</v>
      </c>
      <c r="P750" t="s" s="1">
        <v>3499</v>
      </c>
    </row>
    <row r="751" spans="1:16">
      <c r="A751" t="n" s="4">
        <v>746</v>
      </c>
      <c r="B751" s="2">
        <f>HYPERLINK("https://my.zakupki.prom.ua/remote/dispatcher/state_purchase_view/17768201", "UA-2020-07-09-004988-c")</f>
        <v/>
      </c>
      <c r="C751" t="s" s="2">
        <v>3245</v>
      </c>
      <c r="D751" s="2">
        <f>HYPERLINK("https://my.zakupki.prom.ua/remote/dispatcher/state_contracting_view/4777617", "UA-2020-07-09-004988-c-c1")</f>
        <v/>
      </c>
      <c r="E751" t="s" s="1">
        <v>1929</v>
      </c>
      <c r="F751" t="s" s="1">
        <v>2612</v>
      </c>
      <c r="G751" t="s" s="1">
        <v>2612</v>
      </c>
      <c r="H751" t="s" s="1">
        <v>225</v>
      </c>
      <c r="I751" t="s" s="1">
        <v>2361</v>
      </c>
      <c r="J751" t="s" s="1">
        <v>3467</v>
      </c>
      <c r="K751" t="s" s="1">
        <v>766</v>
      </c>
      <c r="L751" t="s" s="1">
        <v>557</v>
      </c>
      <c r="M751" t="n" s="5">
        <v>4670.0</v>
      </c>
      <c r="N751" t="n" s="7">
        <v>44019.0</v>
      </c>
      <c r="O751" t="n" s="7">
        <v>44196.0</v>
      </c>
      <c r="P751" t="s" s="1">
        <v>3499</v>
      </c>
    </row>
    <row r="752" spans="1:16">
      <c r="A752" t="n" s="4">
        <v>747</v>
      </c>
      <c r="B752" s="2">
        <f>HYPERLINK("https://my.zakupki.prom.ua/remote/dispatcher/state_purchase_view/17760294", "UA-2020-07-09-002794-c")</f>
        <v/>
      </c>
      <c r="C752" t="s" s="2">
        <v>3245</v>
      </c>
      <c r="D752" s="2">
        <f>HYPERLINK("https://my.zakupki.prom.ua/remote/dispatcher/state_contracting_view/4774111", "UA-2020-07-09-002794-c-c1")</f>
        <v/>
      </c>
      <c r="E752" t="s" s="1">
        <v>568</v>
      </c>
      <c r="F752" t="s" s="1">
        <v>2853</v>
      </c>
      <c r="G752" t="s" s="1">
        <v>3345</v>
      </c>
      <c r="H752" t="s" s="1">
        <v>718</v>
      </c>
      <c r="I752" t="s" s="1">
        <v>2361</v>
      </c>
      <c r="J752" t="s" s="1">
        <v>3392</v>
      </c>
      <c r="K752" t="s" s="1">
        <v>428</v>
      </c>
      <c r="L752" t="s" s="1">
        <v>542</v>
      </c>
      <c r="M752" t="n" s="5">
        <v>16917.84</v>
      </c>
      <c r="N752" t="n" s="7">
        <v>44020.0</v>
      </c>
      <c r="O752" t="n" s="7">
        <v>44196.0</v>
      </c>
      <c r="P752" t="s" s="1">
        <v>3499</v>
      </c>
    </row>
    <row r="753" spans="1:16">
      <c r="A753" t="n" s="4">
        <v>748</v>
      </c>
      <c r="B753" s="2">
        <f>HYPERLINK("https://my.zakupki.prom.ua/remote/dispatcher/state_purchase_view/18599721", "UA-2020-08-17-007012-a")</f>
        <v/>
      </c>
      <c r="C753" t="s" s="2">
        <v>3245</v>
      </c>
      <c r="D753" s="2">
        <f>HYPERLINK("https://my.zakupki.prom.ua/remote/dispatcher/state_contracting_view/5165730", "UA-2020-08-17-007012-a-a1")</f>
        <v/>
      </c>
      <c r="E753" t="s" s="1">
        <v>896</v>
      </c>
      <c r="F753" t="s" s="1">
        <v>2913</v>
      </c>
      <c r="G753" t="s" s="1">
        <v>3549</v>
      </c>
      <c r="H753" t="s" s="1">
        <v>718</v>
      </c>
      <c r="I753" t="s" s="1">
        <v>2361</v>
      </c>
      <c r="J753" t="s" s="1">
        <v>3392</v>
      </c>
      <c r="K753" t="s" s="1">
        <v>428</v>
      </c>
      <c r="L753" t="s" s="1">
        <v>1096</v>
      </c>
      <c r="M753" t="n" s="5">
        <v>263845.25</v>
      </c>
      <c r="N753" t="n" s="7">
        <v>44060.0</v>
      </c>
      <c r="O753" t="n" s="7">
        <v>44196.0</v>
      </c>
      <c r="P753" t="s" s="1">
        <v>3499</v>
      </c>
    </row>
    <row r="754" spans="1:16">
      <c r="A754" t="n" s="4">
        <v>749</v>
      </c>
      <c r="B754" s="2">
        <f>HYPERLINK("https://my.zakupki.prom.ua/remote/dispatcher/state_purchase_view/18480299", "UA-2020-08-12-001925-a")</f>
        <v/>
      </c>
      <c r="C754" t="s" s="2">
        <v>3245</v>
      </c>
      <c r="D754" s="2">
        <f>HYPERLINK("https://my.zakupki.prom.ua/remote/dispatcher/state_contracting_view/5109377", "UA-2020-08-12-001925-a-a1")</f>
        <v/>
      </c>
      <c r="E754" t="s" s="1">
        <v>1969</v>
      </c>
      <c r="F754" t="s" s="1">
        <v>2563</v>
      </c>
      <c r="G754" t="s" s="1">
        <v>2563</v>
      </c>
      <c r="H754" t="s" s="1">
        <v>216</v>
      </c>
      <c r="I754" t="s" s="1">
        <v>2361</v>
      </c>
      <c r="J754" t="s" s="1">
        <v>3467</v>
      </c>
      <c r="K754" t="s" s="1">
        <v>766</v>
      </c>
      <c r="L754" t="s" s="1">
        <v>1066</v>
      </c>
      <c r="M754" t="n" s="5">
        <v>834.9</v>
      </c>
      <c r="N754" t="n" s="7">
        <v>44053.0</v>
      </c>
      <c r="O754" t="n" s="7">
        <v>44196.0</v>
      </c>
      <c r="P754" t="s" s="1">
        <v>3499</v>
      </c>
    </row>
    <row r="755" spans="1:16">
      <c r="A755" t="n" s="4">
        <v>750</v>
      </c>
      <c r="B755" s="2">
        <f>HYPERLINK("https://my.zakupki.prom.ua/remote/dispatcher/state_purchase_view/18484786", "UA-2020-08-12-003125-a")</f>
        <v/>
      </c>
      <c r="C755" t="s" s="2">
        <v>3245</v>
      </c>
      <c r="D755" s="2">
        <f>HYPERLINK("https://my.zakupki.prom.ua/remote/dispatcher/state_contracting_view/5111558", "UA-2020-08-12-003125-a-a1")</f>
        <v/>
      </c>
      <c r="E755" t="s" s="1">
        <v>1663</v>
      </c>
      <c r="F755" t="s" s="1">
        <v>3024</v>
      </c>
      <c r="G755" t="s" s="1">
        <v>3024</v>
      </c>
      <c r="H755" t="s" s="1">
        <v>862</v>
      </c>
      <c r="I755" t="s" s="1">
        <v>2361</v>
      </c>
      <c r="J755" t="s" s="1">
        <v>3418</v>
      </c>
      <c r="K755" t="s" s="1">
        <v>949</v>
      </c>
      <c r="L755" t="s" s="1">
        <v>3189</v>
      </c>
      <c r="M755" t="n" s="5">
        <v>600.0</v>
      </c>
      <c r="N755" t="n" s="7">
        <v>44055.0</v>
      </c>
      <c r="O755" t="n" s="7">
        <v>44196.0</v>
      </c>
      <c r="P755" t="s" s="1">
        <v>3499</v>
      </c>
    </row>
    <row r="756" spans="1:16">
      <c r="A756" t="n" s="4">
        <v>751</v>
      </c>
      <c r="B756" s="2">
        <f>HYPERLINK("https://my.zakupki.prom.ua/remote/dispatcher/state_purchase_view/18429517", "UA-2020-08-10-005244-a")</f>
        <v/>
      </c>
      <c r="C756" t="s" s="2">
        <v>3245</v>
      </c>
      <c r="D756" s="2">
        <f>HYPERLINK("https://my.zakupki.prom.ua/remote/dispatcher/state_contracting_view/5085602", "UA-2020-08-10-005244-a-a1")</f>
        <v/>
      </c>
      <c r="E756" t="s" s="1">
        <v>390</v>
      </c>
      <c r="F756" t="s" s="1">
        <v>3048</v>
      </c>
      <c r="G756" t="s" s="1">
        <v>3049</v>
      </c>
      <c r="H756" t="s" s="1">
        <v>1006</v>
      </c>
      <c r="I756" t="s" s="1">
        <v>2361</v>
      </c>
      <c r="J756" t="s" s="1">
        <v>3251</v>
      </c>
      <c r="K756" t="s" s="1">
        <v>486</v>
      </c>
      <c r="L756" t="s" s="1">
        <v>1033</v>
      </c>
      <c r="M756" t="n" s="5">
        <v>127.05</v>
      </c>
      <c r="N756" t="n" s="7">
        <v>44053.0</v>
      </c>
      <c r="O756" t="n" s="7">
        <v>44196.0</v>
      </c>
      <c r="P756" t="s" s="1">
        <v>3499</v>
      </c>
    </row>
    <row r="757" spans="1:16">
      <c r="A757" t="n" s="4">
        <v>752</v>
      </c>
      <c r="B757" s="2">
        <f>HYPERLINK("https://my.zakupki.prom.ua/remote/dispatcher/state_purchase_view/18420598", "UA-2020-08-10-002672-a")</f>
        <v/>
      </c>
      <c r="C757" t="s" s="2">
        <v>3245</v>
      </c>
      <c r="D757" s="2">
        <f>HYPERLINK("https://my.zakupki.prom.ua/remote/dispatcher/state_contracting_view/5081291", "UA-2020-08-10-002672-a-a1")</f>
        <v/>
      </c>
      <c r="E757" t="s" s="1">
        <v>2000</v>
      </c>
      <c r="F757" t="s" s="1">
        <v>2712</v>
      </c>
      <c r="G757" t="s" s="1">
        <v>2712</v>
      </c>
      <c r="H757" t="s" s="1">
        <v>631</v>
      </c>
      <c r="I757" t="s" s="1">
        <v>2361</v>
      </c>
      <c r="J757" t="s" s="1">
        <v>3251</v>
      </c>
      <c r="K757" t="s" s="1">
        <v>486</v>
      </c>
      <c r="L757" t="s" s="1">
        <v>1009</v>
      </c>
      <c r="M757" t="n" s="5">
        <v>170.5</v>
      </c>
      <c r="N757" t="n" s="7">
        <v>44053.0</v>
      </c>
      <c r="O757" t="n" s="7">
        <v>44196.0</v>
      </c>
      <c r="P757" t="s" s="1">
        <v>3499</v>
      </c>
    </row>
    <row r="758" spans="1:16">
      <c r="A758" t="n" s="4">
        <v>753</v>
      </c>
      <c r="B758" s="2">
        <f>HYPERLINK("https://my.zakupki.prom.ua/remote/dispatcher/state_purchase_view/18655243", "UA-2020-08-19-003789-a")</f>
        <v/>
      </c>
      <c r="C758" t="s" s="2">
        <v>3245</v>
      </c>
      <c r="D758" s="2">
        <f>HYPERLINK("https://my.zakupki.prom.ua/remote/dispatcher/state_contracting_view/5191610", "UA-2020-08-19-003789-a-a1")</f>
        <v/>
      </c>
      <c r="E758" t="s" s="1">
        <v>1217</v>
      </c>
      <c r="F758" t="s" s="1">
        <v>3007</v>
      </c>
      <c r="G758" t="s" s="1">
        <v>3007</v>
      </c>
      <c r="H758" t="s" s="1">
        <v>849</v>
      </c>
      <c r="I758" t="s" s="1">
        <v>2361</v>
      </c>
      <c r="J758" t="s" s="1">
        <v>3467</v>
      </c>
      <c r="K758" t="s" s="1">
        <v>766</v>
      </c>
      <c r="L758" t="s" s="1">
        <v>1162</v>
      </c>
      <c r="M758" t="n" s="5">
        <v>2554.0</v>
      </c>
      <c r="N758" t="n" s="7">
        <v>44060.0</v>
      </c>
      <c r="O758" t="n" s="7">
        <v>44196.0</v>
      </c>
      <c r="P758" t="s" s="1">
        <v>3499</v>
      </c>
    </row>
    <row r="759" spans="1:16">
      <c r="A759" t="n" s="4">
        <v>754</v>
      </c>
      <c r="B759" s="2">
        <f>HYPERLINK("https://my.zakupki.prom.ua/remote/dispatcher/state_purchase_view/18579412", "UA-2020-08-17-001374-a")</f>
        <v/>
      </c>
      <c r="C759" t="s" s="2">
        <v>3245</v>
      </c>
      <c r="D759" s="2">
        <f>HYPERLINK("https://my.zakupki.prom.ua/remote/dispatcher/state_contracting_view/5155837", "UA-2020-08-17-001374-a-a1")</f>
        <v/>
      </c>
      <c r="E759" t="s" s="1">
        <v>2094</v>
      </c>
      <c r="F759" t="s" s="1">
        <v>2980</v>
      </c>
      <c r="G759" t="s" s="1">
        <v>2980</v>
      </c>
      <c r="H759" t="s" s="1">
        <v>830</v>
      </c>
      <c r="I759" t="s" s="1">
        <v>2361</v>
      </c>
      <c r="J759" t="s" s="1">
        <v>3409</v>
      </c>
      <c r="K759" t="s" s="1">
        <v>823</v>
      </c>
      <c r="L759" t="s" s="1">
        <v>379</v>
      </c>
      <c r="M759" t="n" s="5">
        <v>30580.0</v>
      </c>
      <c r="N759" t="n" s="7">
        <v>44060.0</v>
      </c>
      <c r="O759" t="n" s="7">
        <v>44196.0</v>
      </c>
      <c r="P759" t="s" s="1">
        <v>3499</v>
      </c>
    </row>
    <row r="760" spans="1:16">
      <c r="A760" t="n" s="4">
        <v>755</v>
      </c>
      <c r="B760" s="2">
        <f>HYPERLINK("https://my.zakupki.prom.ua/remote/dispatcher/state_purchase_view/19243676", "UA-2020-09-14-004028-b")</f>
        <v/>
      </c>
      <c r="C760" t="s" s="2">
        <v>3245</v>
      </c>
      <c r="D760" s="2">
        <f>HYPERLINK("https://my.zakupki.prom.ua/remote/dispatcher/state_contracting_view/5471585", "UA-2020-09-14-004028-b-b1")</f>
        <v/>
      </c>
      <c r="E760" t="s" s="1">
        <v>2228</v>
      </c>
      <c r="F760" t="s" s="1">
        <v>2693</v>
      </c>
      <c r="G760" t="s" s="1">
        <v>2693</v>
      </c>
      <c r="H760" t="s" s="1">
        <v>594</v>
      </c>
      <c r="I760" t="s" s="1">
        <v>2361</v>
      </c>
      <c r="J760" t="s" s="1">
        <v>3251</v>
      </c>
      <c r="K760" t="s" s="1">
        <v>486</v>
      </c>
      <c r="L760" t="s" s="1">
        <v>1322</v>
      </c>
      <c r="M760" t="n" s="5">
        <v>1120.9</v>
      </c>
      <c r="N760" t="n" s="7">
        <v>44088.0</v>
      </c>
      <c r="O760" t="n" s="7">
        <v>44196.0</v>
      </c>
      <c r="P760" t="s" s="1">
        <v>3499</v>
      </c>
    </row>
    <row r="761" spans="1:16">
      <c r="A761" t="n" s="4">
        <v>756</v>
      </c>
      <c r="B761" s="2">
        <f>HYPERLINK("https://my.zakupki.prom.ua/remote/dispatcher/state_purchase_view/19234855", "UA-2020-09-14-001444-b")</f>
        <v/>
      </c>
      <c r="C761" t="s" s="2">
        <v>3245</v>
      </c>
      <c r="D761" s="2">
        <f>HYPERLINK("https://my.zakupki.prom.ua/remote/dispatcher/state_contracting_view/5467266", "UA-2020-09-14-001444-b-b1")</f>
        <v/>
      </c>
      <c r="E761" t="s" s="1">
        <v>890</v>
      </c>
      <c r="F761" t="s" s="1">
        <v>2996</v>
      </c>
      <c r="G761" t="s" s="1">
        <v>2996</v>
      </c>
      <c r="H761" t="s" s="1">
        <v>848</v>
      </c>
      <c r="I761" t="s" s="1">
        <v>2361</v>
      </c>
      <c r="J761" t="s" s="1">
        <v>2371</v>
      </c>
      <c r="K761" t="s" s="1">
        <v>183</v>
      </c>
      <c r="L761" t="s" s="1">
        <v>1313</v>
      </c>
      <c r="M761" t="n" s="5">
        <v>739.2</v>
      </c>
      <c r="N761" t="n" s="7">
        <v>44088.0</v>
      </c>
      <c r="O761" t="n" s="7">
        <v>44196.0</v>
      </c>
      <c r="P761" t="s" s="1">
        <v>3499</v>
      </c>
    </row>
    <row r="762" spans="1:16">
      <c r="A762" t="n" s="4">
        <v>757</v>
      </c>
      <c r="B762" s="2">
        <f>HYPERLINK("https://my.zakupki.prom.ua/remote/dispatcher/state_purchase_view/19735730", "UA-2020-10-01-001054-a")</f>
        <v/>
      </c>
      <c r="C762" t="s" s="2">
        <v>3245</v>
      </c>
      <c r="D762" s="2">
        <f>HYPERLINK("https://my.zakupki.prom.ua/remote/dispatcher/state_contracting_view/5704126", "UA-2020-10-01-001054-a-a1")</f>
        <v/>
      </c>
      <c r="E762" t="s" s="1">
        <v>1916</v>
      </c>
      <c r="F762" t="s" s="1">
        <v>2864</v>
      </c>
      <c r="G762" t="s" s="1">
        <v>3477</v>
      </c>
      <c r="H762" t="s" s="1">
        <v>718</v>
      </c>
      <c r="I762" t="s" s="1">
        <v>2361</v>
      </c>
      <c r="J762" t="s" s="1">
        <v>3302</v>
      </c>
      <c r="K762" t="s" s="1">
        <v>617</v>
      </c>
      <c r="L762" t="s" s="1">
        <v>1413</v>
      </c>
      <c r="M762" t="n" s="5">
        <v>274060.17</v>
      </c>
      <c r="N762" t="n" s="7">
        <v>44105.0</v>
      </c>
      <c r="O762" t="n" s="7">
        <v>44196.0</v>
      </c>
      <c r="P762" t="s" s="1">
        <v>3499</v>
      </c>
    </row>
    <row r="763" spans="1:16">
      <c r="A763" t="n" s="4">
        <v>758</v>
      </c>
      <c r="B763" s="2">
        <f>HYPERLINK("https://my.zakupki.prom.ua/remote/dispatcher/state_purchase_view/19794360", "UA-2020-10-02-008059-a")</f>
        <v/>
      </c>
      <c r="C763" t="s" s="2">
        <v>3245</v>
      </c>
      <c r="D763" s="2">
        <f>HYPERLINK("https://my.zakupki.prom.ua/remote/dispatcher/state_contracting_view/5731880", "UA-2020-10-02-008059-a-a1")</f>
        <v/>
      </c>
      <c r="E763" t="s" s="1">
        <v>562</v>
      </c>
      <c r="F763" t="s" s="1">
        <v>2588</v>
      </c>
      <c r="G763" t="s" s="1">
        <v>2588</v>
      </c>
      <c r="H763" t="s" s="1">
        <v>219</v>
      </c>
      <c r="I763" t="s" s="1">
        <v>2361</v>
      </c>
      <c r="J763" t="s" s="1">
        <v>3467</v>
      </c>
      <c r="K763" t="s" s="1">
        <v>766</v>
      </c>
      <c r="L763" t="s" s="1">
        <v>1425</v>
      </c>
      <c r="M763" t="n" s="5">
        <v>2848.0</v>
      </c>
      <c r="N763" t="n" s="7">
        <v>44106.0</v>
      </c>
      <c r="O763" t="n" s="7">
        <v>44196.0</v>
      </c>
      <c r="P763" t="s" s="1">
        <v>3499</v>
      </c>
    </row>
    <row r="764" spans="1:16">
      <c r="A764" t="n" s="4">
        <v>759</v>
      </c>
      <c r="B764" s="2">
        <f>HYPERLINK("https://my.zakupki.prom.ua/remote/dispatcher/state_purchase_view/19221127", "UA-2020-09-11-011455-b")</f>
        <v/>
      </c>
      <c r="C764" t="s" s="2">
        <v>3245</v>
      </c>
      <c r="D764" s="2">
        <f>HYPERLINK("https://my.zakupki.prom.ua/remote/dispatcher/state_contracting_view/5460423", "UA-2020-09-11-011455-b-b1")</f>
        <v/>
      </c>
      <c r="E764" t="s" s="1">
        <v>988</v>
      </c>
      <c r="F764" t="s" s="1">
        <v>2630</v>
      </c>
      <c r="G764" t="s" s="1">
        <v>2630</v>
      </c>
      <c r="H764" t="s" s="1">
        <v>242</v>
      </c>
      <c r="I764" t="s" s="1">
        <v>2361</v>
      </c>
      <c r="J764" t="s" s="1">
        <v>3251</v>
      </c>
      <c r="K764" t="s" s="1">
        <v>486</v>
      </c>
      <c r="L764" t="s" s="1">
        <v>1306</v>
      </c>
      <c r="M764" t="n" s="5">
        <v>293.7</v>
      </c>
      <c r="N764" t="n" s="7">
        <v>44085.0</v>
      </c>
      <c r="O764" t="n" s="7">
        <v>44196.0</v>
      </c>
      <c r="P764" t="s" s="1">
        <v>3499</v>
      </c>
    </row>
    <row r="765" spans="1:16">
      <c r="A765" t="n" s="4">
        <v>760</v>
      </c>
      <c r="B765" s="2">
        <f>HYPERLINK("https://my.zakupki.prom.ua/remote/dispatcher/state_purchase_view/19237788", "UA-2020-09-14-002291-b")</f>
        <v/>
      </c>
      <c r="C765" t="s" s="2">
        <v>3245</v>
      </c>
      <c r="D765" s="2">
        <f>HYPERLINK("https://my.zakupki.prom.ua/remote/dispatcher/state_contracting_view/5468710", "UA-2020-09-14-002291-b-b1")</f>
        <v/>
      </c>
      <c r="E765" t="s" s="1">
        <v>2161</v>
      </c>
      <c r="F765" t="s" s="1">
        <v>3019</v>
      </c>
      <c r="G765" t="s" s="1">
        <v>3020</v>
      </c>
      <c r="H765" t="s" s="1">
        <v>858</v>
      </c>
      <c r="I765" t="s" s="1">
        <v>2361</v>
      </c>
      <c r="J765" t="s" s="1">
        <v>3251</v>
      </c>
      <c r="K765" t="s" s="1">
        <v>486</v>
      </c>
      <c r="L765" t="s" s="1">
        <v>1315</v>
      </c>
      <c r="M765" t="n" s="5">
        <v>4952.48</v>
      </c>
      <c r="N765" t="n" s="7">
        <v>44088.0</v>
      </c>
      <c r="O765" t="n" s="7">
        <v>44196.0</v>
      </c>
      <c r="P765" t="s" s="1">
        <v>3499</v>
      </c>
    </row>
    <row r="766" spans="1:16">
      <c r="A766" t="n" s="4">
        <v>761</v>
      </c>
      <c r="B766" s="2">
        <f>HYPERLINK("https://my.zakupki.prom.ua/remote/dispatcher/state_purchase_view/19222846", "UA-2020-09-11-012092-b")</f>
        <v/>
      </c>
      <c r="C766" t="s" s="2">
        <v>3245</v>
      </c>
      <c r="D766" s="2">
        <f>HYPERLINK("https://my.zakupki.prom.ua/remote/dispatcher/state_contracting_view/5461220", "UA-2020-09-11-012092-b-b1")</f>
        <v/>
      </c>
      <c r="E766" t="s" s="1">
        <v>2183</v>
      </c>
      <c r="F766" t="s" s="1">
        <v>3067</v>
      </c>
      <c r="G766" t="s" s="1">
        <v>3067</v>
      </c>
      <c r="H766" t="s" s="1">
        <v>1022</v>
      </c>
      <c r="I766" t="s" s="1">
        <v>2361</v>
      </c>
      <c r="J766" t="s" s="1">
        <v>3251</v>
      </c>
      <c r="K766" t="s" s="1">
        <v>486</v>
      </c>
      <c r="L766" t="s" s="1">
        <v>1310</v>
      </c>
      <c r="M766" t="n" s="5">
        <v>891.23</v>
      </c>
      <c r="N766" t="n" s="7">
        <v>44085.0</v>
      </c>
      <c r="O766" t="n" s="7">
        <v>44196.0</v>
      </c>
      <c r="P766" t="s" s="1">
        <v>3499</v>
      </c>
    </row>
    <row r="767" spans="1:16">
      <c r="A767" t="n" s="4">
        <v>762</v>
      </c>
      <c r="B767" s="2">
        <f>HYPERLINK("https://my.zakupki.prom.ua/remote/dispatcher/state_purchase_view/19318854", "UA-2020-09-16-004442-a")</f>
        <v/>
      </c>
      <c r="C767" t="s" s="2">
        <v>3245</v>
      </c>
      <c r="D767" s="2">
        <f>HYPERLINK("https://my.zakupki.prom.ua/remote/dispatcher/state_contracting_view/5507407", "UA-2020-09-16-004442-a-a1")</f>
        <v/>
      </c>
      <c r="E767" t="s" s="1">
        <v>2177</v>
      </c>
      <c r="F767" t="s" s="1">
        <v>2647</v>
      </c>
      <c r="G767" t="s" s="1">
        <v>2647</v>
      </c>
      <c r="H767" t="s" s="1">
        <v>406</v>
      </c>
      <c r="I767" t="s" s="1">
        <v>2361</v>
      </c>
      <c r="J767" t="s" s="1">
        <v>2340</v>
      </c>
      <c r="K767" t="s" s="1">
        <v>660</v>
      </c>
      <c r="L767" t="s" s="1">
        <v>582</v>
      </c>
      <c r="M767" t="n" s="5">
        <v>9294.0</v>
      </c>
      <c r="N767" t="n" s="7">
        <v>44088.0</v>
      </c>
      <c r="O767" t="n" s="7">
        <v>44196.0</v>
      </c>
      <c r="P767" t="s" s="1">
        <v>3499</v>
      </c>
    </row>
    <row r="768" spans="1:16">
      <c r="A768" t="n" s="4">
        <v>763</v>
      </c>
      <c r="B768" s="2">
        <f>HYPERLINK("https://my.zakupki.prom.ua/remote/dispatcher/state_purchase_view/19360013", "UA-2020-09-17-005255-a")</f>
        <v/>
      </c>
      <c r="C768" t="s" s="2">
        <v>3245</v>
      </c>
      <c r="D768" s="2">
        <f>HYPERLINK("https://my.zakupki.prom.ua/remote/dispatcher/state_contracting_view/5527171", "UA-2020-09-17-005255-a-a1")</f>
        <v/>
      </c>
      <c r="E768" t="s" s="1">
        <v>2162</v>
      </c>
      <c r="F768" t="s" s="1">
        <v>2966</v>
      </c>
      <c r="G768" t="s" s="1">
        <v>2966</v>
      </c>
      <c r="H768" t="s" s="1">
        <v>742</v>
      </c>
      <c r="I768" t="s" s="1">
        <v>2361</v>
      </c>
      <c r="J768" t="s" s="1">
        <v>3403</v>
      </c>
      <c r="K768" t="s" s="1">
        <v>771</v>
      </c>
      <c r="L768" t="s" s="1">
        <v>1344</v>
      </c>
      <c r="M768" t="n" s="5">
        <v>7500.0</v>
      </c>
      <c r="N768" t="n" s="7">
        <v>44091.0</v>
      </c>
      <c r="O768" t="n" s="7">
        <v>44196.0</v>
      </c>
      <c r="P768" t="s" s="1">
        <v>3499</v>
      </c>
    </row>
    <row r="769" spans="1:16">
      <c r="A769" t="n" s="4">
        <v>764</v>
      </c>
      <c r="B769" s="2">
        <f>HYPERLINK("https://my.zakupki.prom.ua/remote/dispatcher/state_purchase_view/17967241", "UA-2020-07-20-000660-b")</f>
        <v/>
      </c>
      <c r="C769" t="s" s="2">
        <v>3245</v>
      </c>
      <c r="D769" s="2">
        <f>HYPERLINK("https://my.zakupki.prom.ua/remote/dispatcher/state_contracting_view/4869959", "UA-2020-07-20-000660-b-b1")</f>
        <v/>
      </c>
      <c r="E769" t="s" s="1">
        <v>2163</v>
      </c>
      <c r="F769" t="s" s="1">
        <v>2815</v>
      </c>
      <c r="G769" t="s" s="1">
        <v>2815</v>
      </c>
      <c r="H769" t="s" s="1">
        <v>690</v>
      </c>
      <c r="I769" t="s" s="1">
        <v>2361</v>
      </c>
      <c r="J769" t="s" s="1">
        <v>3392</v>
      </c>
      <c r="K769" t="s" s="1">
        <v>428</v>
      </c>
      <c r="L769" t="s" s="1">
        <v>750</v>
      </c>
      <c r="M769" t="n" s="5">
        <v>468.0</v>
      </c>
      <c r="N769" t="n" s="7">
        <v>44032.0</v>
      </c>
      <c r="O769" t="n" s="7">
        <v>44196.0</v>
      </c>
      <c r="P769" t="s" s="1">
        <v>3499</v>
      </c>
    </row>
    <row r="770" spans="1:16">
      <c r="A770" t="n" s="4">
        <v>765</v>
      </c>
      <c r="B770" s="2">
        <f>HYPERLINK("https://my.zakupki.prom.ua/remote/dispatcher/state_purchase_view/18030245", "UA-2020-07-22-001232-b")</f>
        <v/>
      </c>
      <c r="C770" t="s" s="2">
        <v>3245</v>
      </c>
      <c r="D770" s="2">
        <f>HYPERLINK("https://my.zakupki.prom.ua/remote/dispatcher/state_contracting_view/4899941", "UA-2020-07-22-001232-b-b1")</f>
        <v/>
      </c>
      <c r="E770" t="s" s="1">
        <v>34</v>
      </c>
      <c r="F770" t="s" s="1">
        <v>2565</v>
      </c>
      <c r="G770" t="s" s="1">
        <v>2565</v>
      </c>
      <c r="H770" t="s" s="1">
        <v>216</v>
      </c>
      <c r="I770" t="s" s="1">
        <v>2361</v>
      </c>
      <c r="J770" t="s" s="1">
        <v>3467</v>
      </c>
      <c r="K770" t="s" s="1">
        <v>766</v>
      </c>
      <c r="L770" t="s" s="1">
        <v>780</v>
      </c>
      <c r="M770" t="n" s="5">
        <v>424.35</v>
      </c>
      <c r="N770" t="n" s="7">
        <v>44033.0</v>
      </c>
      <c r="O770" t="n" s="7">
        <v>44196.0</v>
      </c>
      <c r="P770" t="s" s="1">
        <v>3499</v>
      </c>
    </row>
    <row r="771" spans="1:16">
      <c r="A771" t="n" s="4">
        <v>766</v>
      </c>
      <c r="B771" s="2">
        <f>HYPERLINK("https://my.zakupki.prom.ua/remote/dispatcher/state_purchase_view/18030782", "UA-2020-07-22-001376-b")</f>
        <v/>
      </c>
      <c r="C771" t="s" s="2">
        <v>3245</v>
      </c>
      <c r="D771" s="2">
        <f>HYPERLINK("https://my.zakupki.prom.ua/remote/dispatcher/state_contracting_view/4900287", "UA-2020-07-22-001376-b-b1")</f>
        <v/>
      </c>
      <c r="E771" t="s" s="1">
        <v>2197</v>
      </c>
      <c r="F771" t="s" s="1">
        <v>2548</v>
      </c>
      <c r="G771" t="s" s="1">
        <v>2548</v>
      </c>
      <c r="H771" t="s" s="1">
        <v>209</v>
      </c>
      <c r="I771" t="s" s="1">
        <v>2361</v>
      </c>
      <c r="J771" t="s" s="1">
        <v>3467</v>
      </c>
      <c r="K771" t="s" s="1">
        <v>766</v>
      </c>
      <c r="L771" t="s" s="1">
        <v>781</v>
      </c>
      <c r="M771" t="n" s="5">
        <v>3196.0</v>
      </c>
      <c r="N771" t="n" s="7">
        <v>44033.0</v>
      </c>
      <c r="O771" t="n" s="7">
        <v>44196.0</v>
      </c>
      <c r="P771" t="s" s="1">
        <v>3499</v>
      </c>
    </row>
    <row r="772" spans="1:16">
      <c r="A772" t="n" s="4">
        <v>767</v>
      </c>
      <c r="B772" s="2">
        <f>HYPERLINK("https://my.zakupki.prom.ua/remote/dispatcher/state_purchase_view/18033947", "UA-2020-07-22-002218-b")</f>
        <v/>
      </c>
      <c r="C772" t="s" s="2">
        <v>3245</v>
      </c>
      <c r="D772" s="2">
        <f>HYPERLINK("https://my.zakupki.prom.ua/remote/dispatcher/state_contracting_view/4901537", "UA-2020-07-22-002218-b-b1")</f>
        <v/>
      </c>
      <c r="E772" t="s" s="1">
        <v>1968</v>
      </c>
      <c r="F772" t="s" s="1">
        <v>2515</v>
      </c>
      <c r="G772" t="s" s="1">
        <v>2515</v>
      </c>
      <c r="H772" t="s" s="1">
        <v>39</v>
      </c>
      <c r="I772" t="s" s="1">
        <v>2361</v>
      </c>
      <c r="J772" t="s" s="1">
        <v>3467</v>
      </c>
      <c r="K772" t="s" s="1">
        <v>766</v>
      </c>
      <c r="L772" t="s" s="1">
        <v>761</v>
      </c>
      <c r="M772" t="n" s="5">
        <v>3557.27</v>
      </c>
      <c r="N772" t="n" s="7">
        <v>44033.0</v>
      </c>
      <c r="O772" t="n" s="7">
        <v>44196.0</v>
      </c>
      <c r="P772" t="s" s="1">
        <v>3499</v>
      </c>
    </row>
    <row r="773" spans="1:16">
      <c r="A773" t="n" s="4">
        <v>768</v>
      </c>
      <c r="B773" s="2">
        <f>HYPERLINK("https://my.zakupki.prom.ua/remote/dispatcher/state_purchase_view/18048057", "UA-2020-07-22-005958-b")</f>
        <v/>
      </c>
      <c r="C773" t="s" s="2">
        <v>3245</v>
      </c>
      <c r="D773" s="2">
        <f>HYPERLINK("https://my.zakupki.prom.ua/remote/dispatcher/state_contracting_view/4908098", "UA-2020-07-22-005958-b-b1")</f>
        <v/>
      </c>
      <c r="E773" t="s" s="1">
        <v>831</v>
      </c>
      <c r="F773" t="s" s="1">
        <v>3006</v>
      </c>
      <c r="G773" t="s" s="1">
        <v>3006</v>
      </c>
      <c r="H773" t="s" s="1">
        <v>848</v>
      </c>
      <c r="I773" t="s" s="1">
        <v>2361</v>
      </c>
      <c r="J773" t="s" s="1">
        <v>3305</v>
      </c>
      <c r="K773" t="s" s="1">
        <v>530</v>
      </c>
      <c r="L773" t="s" s="1">
        <v>791</v>
      </c>
      <c r="M773" t="n" s="5">
        <v>10371.9</v>
      </c>
      <c r="N773" t="n" s="7">
        <v>44033.0</v>
      </c>
      <c r="O773" t="n" s="7">
        <v>44196.0</v>
      </c>
      <c r="P773" t="s" s="1">
        <v>3499</v>
      </c>
    </row>
    <row r="774" spans="1:16">
      <c r="A774" t="n" s="4">
        <v>769</v>
      </c>
      <c r="B774" s="2">
        <f>HYPERLINK("https://my.zakupki.prom.ua/remote/dispatcher/state_purchase_view/18028853", "UA-2020-07-22-000894-b")</f>
        <v/>
      </c>
      <c r="C774" t="s" s="2">
        <v>3245</v>
      </c>
      <c r="D774" s="2">
        <f>HYPERLINK("https://my.zakupki.prom.ua/remote/dispatcher/state_contracting_view/4899464", "UA-2020-07-22-000894-b-b1")</f>
        <v/>
      </c>
      <c r="E774" t="s" s="1">
        <v>1978</v>
      </c>
      <c r="F774" t="s" s="1">
        <v>2618</v>
      </c>
      <c r="G774" t="s" s="1">
        <v>2618</v>
      </c>
      <c r="H774" t="s" s="1">
        <v>225</v>
      </c>
      <c r="I774" t="s" s="1">
        <v>2361</v>
      </c>
      <c r="J774" t="s" s="1">
        <v>3467</v>
      </c>
      <c r="K774" t="s" s="1">
        <v>766</v>
      </c>
      <c r="L774" t="s" s="1">
        <v>777</v>
      </c>
      <c r="M774" t="n" s="5">
        <v>3811.75</v>
      </c>
      <c r="N774" t="n" s="7">
        <v>44033.0</v>
      </c>
      <c r="O774" t="n" s="7">
        <v>44196.0</v>
      </c>
      <c r="P774" t="s" s="1">
        <v>3499</v>
      </c>
    </row>
    <row r="775" spans="1:16">
      <c r="A775" t="n" s="4">
        <v>770</v>
      </c>
      <c r="B775" s="2">
        <f>HYPERLINK("https://my.zakupki.prom.ua/remote/dispatcher/state_purchase_view/18254975", "UA-2020-08-03-000875-c")</f>
        <v/>
      </c>
      <c r="C775" t="s" s="2">
        <v>3245</v>
      </c>
      <c r="D775" s="2">
        <f>HYPERLINK("https://my.zakupki.prom.ua/remote/dispatcher/state_contracting_view/5004425", "UA-2020-08-03-000875-c-c1")</f>
        <v/>
      </c>
      <c r="E775" t="s" s="1">
        <v>1115</v>
      </c>
      <c r="F775" t="s" s="1">
        <v>2814</v>
      </c>
      <c r="G775" t="s" s="1">
        <v>2814</v>
      </c>
      <c r="H775" t="s" s="1">
        <v>690</v>
      </c>
      <c r="I775" t="s" s="1">
        <v>2361</v>
      </c>
      <c r="J775" t="s" s="1">
        <v>3392</v>
      </c>
      <c r="K775" t="s" s="1">
        <v>428</v>
      </c>
      <c r="L775" t="s" s="1">
        <v>923</v>
      </c>
      <c r="M775" t="n" s="5">
        <v>60050.1</v>
      </c>
      <c r="N775" t="n" s="7">
        <v>44046.0</v>
      </c>
      <c r="O775" t="n" s="7">
        <v>44196.0</v>
      </c>
      <c r="P775" t="s" s="1">
        <v>3499</v>
      </c>
    </row>
    <row r="776" spans="1:16">
      <c r="A776" t="n" s="4">
        <v>771</v>
      </c>
      <c r="B776" s="2">
        <f>HYPERLINK("https://my.zakupki.prom.ua/remote/dispatcher/state_purchase_view/18281361", "UA-2020-08-04-000390-a")</f>
        <v/>
      </c>
      <c r="C776" t="s" s="2">
        <v>3245</v>
      </c>
      <c r="D776" s="2">
        <f>HYPERLINK("https://my.zakupki.prom.ua/remote/dispatcher/state_contracting_view/5016751", "UA-2020-08-04-000390-a-a1")</f>
        <v/>
      </c>
      <c r="E776" t="s" s="1">
        <v>1316</v>
      </c>
      <c r="F776" t="s" s="1">
        <v>3097</v>
      </c>
      <c r="G776" t="s" s="1">
        <v>3097</v>
      </c>
      <c r="H776" t="s" s="1">
        <v>1144</v>
      </c>
      <c r="I776" t="s" s="1">
        <v>2361</v>
      </c>
      <c r="J776" t="s" s="1">
        <v>3220</v>
      </c>
      <c r="K776" t="s" s="1">
        <v>588</v>
      </c>
      <c r="L776" t="s" s="1">
        <v>942</v>
      </c>
      <c r="M776" t="n" s="5">
        <v>600.0</v>
      </c>
      <c r="N776" t="n" s="7">
        <v>44047.0</v>
      </c>
      <c r="O776" t="n" s="7">
        <v>44196.0</v>
      </c>
      <c r="P776" t="s" s="1">
        <v>3499</v>
      </c>
    </row>
    <row r="777" spans="1:16">
      <c r="A777" t="n" s="4">
        <v>772</v>
      </c>
      <c r="B777" s="2">
        <f>HYPERLINK("https://my.zakupki.prom.ua/remote/dispatcher/state_purchase_view/20741815", "UA-2020-11-04-004980-c")</f>
        <v/>
      </c>
      <c r="C777" t="s" s="2">
        <v>3245</v>
      </c>
      <c r="D777" s="2">
        <f>HYPERLINK("https://my.zakupki.prom.ua/remote/dispatcher/state_contracting_view/6184828", "UA-2020-11-04-004980-c-c1")</f>
        <v/>
      </c>
      <c r="E777" t="s" s="1">
        <v>1932</v>
      </c>
      <c r="F777" t="s" s="1">
        <v>2547</v>
      </c>
      <c r="G777" t="s" s="1">
        <v>2547</v>
      </c>
      <c r="H777" t="s" s="1">
        <v>209</v>
      </c>
      <c r="I777" t="s" s="1">
        <v>2361</v>
      </c>
      <c r="J777" t="s" s="1">
        <v>3467</v>
      </c>
      <c r="K777" t="s" s="1">
        <v>766</v>
      </c>
      <c r="L777" t="s" s="1">
        <v>1637</v>
      </c>
      <c r="M777" t="n" s="5">
        <v>11850.0</v>
      </c>
      <c r="N777" t="n" s="7">
        <v>44137.0</v>
      </c>
      <c r="O777" t="n" s="7">
        <v>44196.0</v>
      </c>
      <c r="P777" t="s" s="1">
        <v>3499</v>
      </c>
    </row>
    <row r="778" spans="1:16">
      <c r="A778" t="n" s="4">
        <v>773</v>
      </c>
      <c r="B778" s="2">
        <f>HYPERLINK("https://my.zakupki.prom.ua/remote/dispatcher/state_purchase_view/20734048", "UA-2020-11-04-002735-c")</f>
        <v/>
      </c>
      <c r="C778" t="s" s="2">
        <v>3245</v>
      </c>
      <c r="D778" s="2">
        <f>HYPERLINK("https://my.zakupki.prom.ua/remote/dispatcher/state_contracting_view/6181331", "UA-2020-11-04-002735-c-c1")</f>
        <v/>
      </c>
      <c r="E778" t="s" s="1">
        <v>653</v>
      </c>
      <c r="F778" t="s" s="1">
        <v>2552</v>
      </c>
      <c r="G778" t="s" s="1">
        <v>2552</v>
      </c>
      <c r="H778" t="s" s="1">
        <v>213</v>
      </c>
      <c r="I778" t="s" s="1">
        <v>2361</v>
      </c>
      <c r="J778" t="s" s="1">
        <v>3467</v>
      </c>
      <c r="K778" t="s" s="1">
        <v>766</v>
      </c>
      <c r="L778" t="s" s="1">
        <v>1627</v>
      </c>
      <c r="M778" t="n" s="5">
        <v>1734.0</v>
      </c>
      <c r="N778" t="n" s="7">
        <v>44137.0</v>
      </c>
      <c r="O778" t="n" s="7">
        <v>44196.0</v>
      </c>
      <c r="P778" t="s" s="1">
        <v>3499</v>
      </c>
    </row>
    <row r="779" spans="1:16">
      <c r="A779" t="n" s="4">
        <v>774</v>
      </c>
      <c r="B779" s="2">
        <f>HYPERLINK("https://my.zakupki.prom.ua/remote/dispatcher/state_purchase_view/20735369", "UA-2020-11-04-003078-c")</f>
        <v/>
      </c>
      <c r="C779" t="s" s="2">
        <v>3245</v>
      </c>
      <c r="D779" s="2">
        <f>HYPERLINK("https://my.zakupki.prom.ua/remote/dispatcher/state_contracting_view/6181521", "UA-2020-11-04-003078-c-c1")</f>
        <v/>
      </c>
      <c r="E779" t="s" s="1">
        <v>2201</v>
      </c>
      <c r="F779" t="s" s="1">
        <v>2583</v>
      </c>
      <c r="G779" t="s" s="1">
        <v>2583</v>
      </c>
      <c r="H779" t="s" s="1">
        <v>219</v>
      </c>
      <c r="I779" t="s" s="1">
        <v>2361</v>
      </c>
      <c r="J779" t="s" s="1">
        <v>3467</v>
      </c>
      <c r="K779" t="s" s="1">
        <v>766</v>
      </c>
      <c r="L779" t="s" s="1">
        <v>1631</v>
      </c>
      <c r="M779" t="n" s="5">
        <v>15205.8</v>
      </c>
      <c r="N779" t="n" s="7">
        <v>44137.0</v>
      </c>
      <c r="O779" t="n" s="7">
        <v>44196.0</v>
      </c>
      <c r="P779" t="s" s="1">
        <v>3499</v>
      </c>
    </row>
    <row r="780" spans="1:16">
      <c r="A780" t="n" s="4">
        <v>775</v>
      </c>
      <c r="B780" s="2">
        <f>HYPERLINK("https://my.zakupki.prom.ua/remote/dispatcher/state_purchase_view/18194602", "UA-2020-07-29-005670-c")</f>
        <v/>
      </c>
      <c r="C780" t="s" s="2">
        <v>3245</v>
      </c>
      <c r="D780" s="2">
        <f>HYPERLINK("https://my.zakupki.prom.ua/remote/dispatcher/state_contracting_view/4977465", "UA-2020-07-29-005670-c-c1")</f>
        <v/>
      </c>
      <c r="E780" t="s" s="1">
        <v>1931</v>
      </c>
      <c r="F780" t="s" s="1">
        <v>2807</v>
      </c>
      <c r="G780" t="s" s="1">
        <v>2807</v>
      </c>
      <c r="H780" t="s" s="1">
        <v>690</v>
      </c>
      <c r="I780" t="s" s="1">
        <v>2361</v>
      </c>
      <c r="J780" t="s" s="1">
        <v>3402</v>
      </c>
      <c r="K780" t="s" s="1">
        <v>375</v>
      </c>
      <c r="L780" t="s" s="1">
        <v>415</v>
      </c>
      <c r="M780" t="n" s="5">
        <v>61030.0</v>
      </c>
      <c r="N780" t="n" s="7">
        <v>44041.0</v>
      </c>
      <c r="O780" t="n" s="7">
        <v>44196.0</v>
      </c>
      <c r="P780" t="s" s="1">
        <v>3499</v>
      </c>
    </row>
    <row r="781" spans="1:16">
      <c r="A781" t="n" s="4">
        <v>776</v>
      </c>
      <c r="B781" s="2">
        <f>HYPERLINK("https://my.zakupki.prom.ua/remote/dispatcher/state_purchase_view/18201142", "UA-2020-07-29-007942-c")</f>
        <v/>
      </c>
      <c r="C781" t="s" s="2">
        <v>3245</v>
      </c>
      <c r="D781" s="2">
        <f>HYPERLINK("https://my.zakupki.prom.ua/remote/dispatcher/state_contracting_view/4980465", "UA-2020-07-29-007942-c-c1")</f>
        <v/>
      </c>
      <c r="E781" t="s" s="1">
        <v>2154</v>
      </c>
      <c r="F781" t="s" s="1">
        <v>2597</v>
      </c>
      <c r="G781" t="s" s="1">
        <v>2597</v>
      </c>
      <c r="H781" t="s" s="1">
        <v>221</v>
      </c>
      <c r="I781" t="s" s="1">
        <v>2361</v>
      </c>
      <c r="J781" t="s" s="1">
        <v>3467</v>
      </c>
      <c r="K781" t="s" s="1">
        <v>766</v>
      </c>
      <c r="L781" t="s" s="1">
        <v>860</v>
      </c>
      <c r="M781" t="n" s="5">
        <v>857.1</v>
      </c>
      <c r="N781" t="n" s="7">
        <v>44040.0</v>
      </c>
      <c r="O781" t="n" s="7">
        <v>44196.0</v>
      </c>
      <c r="P781" t="s" s="1">
        <v>3499</v>
      </c>
    </row>
    <row r="782" spans="1:16">
      <c r="A782" t="n" s="4">
        <v>777</v>
      </c>
      <c r="B782" s="2">
        <f>HYPERLINK("https://my.zakupki.prom.ua/remote/dispatcher/state_purchase_view/20598050", "UA-2020-10-29-006792-c")</f>
        <v/>
      </c>
      <c r="C782" t="s" s="2">
        <v>3245</v>
      </c>
      <c r="D782" s="2">
        <f>HYPERLINK("https://my.zakupki.prom.ua/remote/dispatcher/state_contracting_view/6117634", "UA-2020-10-29-006792-c-c1")</f>
        <v/>
      </c>
      <c r="E782" t="s" s="1">
        <v>2066</v>
      </c>
      <c r="F782" t="s" s="1">
        <v>3028</v>
      </c>
      <c r="G782" t="s" s="1">
        <v>3028</v>
      </c>
      <c r="H782" t="s" s="1">
        <v>868</v>
      </c>
      <c r="I782" t="s" s="1">
        <v>2361</v>
      </c>
      <c r="J782" t="s" s="1">
        <v>3251</v>
      </c>
      <c r="K782" t="s" s="1">
        <v>486</v>
      </c>
      <c r="L782" t="s" s="1">
        <v>3259</v>
      </c>
      <c r="M782" t="n" s="5">
        <v>19374.05</v>
      </c>
      <c r="N782" t="n" s="7">
        <v>44133.0</v>
      </c>
      <c r="O782" t="n" s="7">
        <v>44196.0</v>
      </c>
      <c r="P782" t="s" s="1">
        <v>3499</v>
      </c>
    </row>
    <row r="783" spans="1:16">
      <c r="A783" t="n" s="4">
        <v>778</v>
      </c>
      <c r="B783" s="2">
        <f>HYPERLINK("https://my.zakupki.prom.ua/remote/dispatcher/state_purchase_view/21142581", "UA-2020-11-17-005927-c")</f>
        <v/>
      </c>
      <c r="C783" t="s" s="2">
        <v>3245</v>
      </c>
      <c r="D783" s="2">
        <f>HYPERLINK("https://my.zakupki.prom.ua/remote/dispatcher/state_contracting_view/6374080", "UA-2020-11-17-005927-c-c1")</f>
        <v/>
      </c>
      <c r="E783" t="s" s="1">
        <v>325</v>
      </c>
      <c r="F783" t="s" s="1">
        <v>2739</v>
      </c>
      <c r="G783" t="s" s="1">
        <v>2739</v>
      </c>
      <c r="H783" t="s" s="1">
        <v>688</v>
      </c>
      <c r="I783" t="s" s="1">
        <v>2361</v>
      </c>
      <c r="J783" t="s" s="1">
        <v>3403</v>
      </c>
      <c r="K783" t="s" s="1">
        <v>771</v>
      </c>
      <c r="L783" t="s" s="1">
        <v>1726</v>
      </c>
      <c r="M783" t="n" s="5">
        <v>15400.0</v>
      </c>
      <c r="N783" t="n" s="7">
        <v>44152.0</v>
      </c>
      <c r="O783" t="n" s="7">
        <v>44196.0</v>
      </c>
      <c r="P783" t="s" s="1">
        <v>3499</v>
      </c>
    </row>
    <row r="784" spans="1:16">
      <c r="A784" t="n" s="4">
        <v>779</v>
      </c>
      <c r="B784" s="2">
        <f>HYPERLINK("https://my.zakupki.prom.ua/remote/dispatcher/state_purchase_view/21141286", "UA-2020-11-17-005551-c")</f>
        <v/>
      </c>
      <c r="C784" t="s" s="2">
        <v>3245</v>
      </c>
      <c r="D784" s="2">
        <f>HYPERLINK("https://my.zakupki.prom.ua/remote/dispatcher/state_contracting_view/6373599", "UA-2020-11-17-005551-c-c1")</f>
        <v/>
      </c>
      <c r="E784" t="s" s="1">
        <v>1946</v>
      </c>
      <c r="F784" t="s" s="1">
        <v>2819</v>
      </c>
      <c r="G784" t="s" s="1">
        <v>2819</v>
      </c>
      <c r="H784" t="s" s="1">
        <v>695</v>
      </c>
      <c r="I784" t="s" s="1">
        <v>2361</v>
      </c>
      <c r="J784" t="s" s="1">
        <v>3403</v>
      </c>
      <c r="K784" t="s" s="1">
        <v>771</v>
      </c>
      <c r="L784" t="s" s="1">
        <v>1721</v>
      </c>
      <c r="M784" t="n" s="5">
        <v>77400.0</v>
      </c>
      <c r="N784" t="n" s="7">
        <v>44152.0</v>
      </c>
      <c r="O784" t="n" s="7">
        <v>44196.0</v>
      </c>
      <c r="P784" t="s" s="1">
        <v>3499</v>
      </c>
    </row>
    <row r="785" spans="1:16">
      <c r="A785" t="n" s="4">
        <v>780</v>
      </c>
      <c r="B785" s="2">
        <f>HYPERLINK("https://my.zakupki.prom.ua/remote/dispatcher/state_purchase_view/20879707", "UA-2020-11-09-002236-c")</f>
        <v/>
      </c>
      <c r="C785" t="s" s="2">
        <v>3245</v>
      </c>
      <c r="D785" s="2">
        <f>HYPERLINK("https://my.zakupki.prom.ua/remote/dispatcher/state_contracting_view/6250941", "UA-2020-11-09-002236-c-c1")</f>
        <v/>
      </c>
      <c r="E785" t="s" s="1">
        <v>2174</v>
      </c>
      <c r="F785" t="s" s="1">
        <v>2714</v>
      </c>
      <c r="G785" t="s" s="1">
        <v>2714</v>
      </c>
      <c r="H785" t="s" s="1">
        <v>634</v>
      </c>
      <c r="I785" t="s" s="1">
        <v>2361</v>
      </c>
      <c r="J785" t="s" s="1">
        <v>3251</v>
      </c>
      <c r="K785" t="s" s="1">
        <v>486</v>
      </c>
      <c r="L785" t="s" s="1">
        <v>3282</v>
      </c>
      <c r="M785" t="n" s="5">
        <v>1423.7</v>
      </c>
      <c r="N785" t="n" s="7">
        <v>44144.0</v>
      </c>
      <c r="O785" t="n" s="7">
        <v>44196.0</v>
      </c>
      <c r="P785" t="s" s="1">
        <v>3499</v>
      </c>
    </row>
    <row r="786" spans="1:16">
      <c r="A786" t="n" s="4">
        <v>781</v>
      </c>
      <c r="B786" s="2">
        <f>HYPERLINK("https://my.zakupki.prom.ua/remote/dispatcher/state_purchase_view/20878888", "UA-2020-11-09-001894-c")</f>
        <v/>
      </c>
      <c r="C786" t="s" s="2">
        <v>3245</v>
      </c>
      <c r="D786" s="2">
        <f>HYPERLINK("https://my.zakupki.prom.ua/remote/dispatcher/state_contracting_view/6250560", "UA-2020-11-09-001894-c-c1")</f>
        <v/>
      </c>
      <c r="E786" t="s" s="1">
        <v>2078</v>
      </c>
      <c r="F786" t="s" s="1">
        <v>2633</v>
      </c>
      <c r="G786" t="s" s="1">
        <v>2633</v>
      </c>
      <c r="H786" t="s" s="1">
        <v>271</v>
      </c>
      <c r="I786" t="s" s="1">
        <v>2361</v>
      </c>
      <c r="J786" t="s" s="1">
        <v>3251</v>
      </c>
      <c r="K786" t="s" s="1">
        <v>486</v>
      </c>
      <c r="L786" t="s" s="1">
        <v>3278</v>
      </c>
      <c r="M786" t="n" s="5">
        <v>617.4</v>
      </c>
      <c r="N786" t="n" s="7">
        <v>44144.0</v>
      </c>
      <c r="O786" t="n" s="7">
        <v>44196.0</v>
      </c>
      <c r="P786" t="s" s="1">
        <v>3499</v>
      </c>
    </row>
    <row r="787" spans="1:16">
      <c r="A787" t="n" s="4">
        <v>782</v>
      </c>
      <c r="B787" s="2">
        <f>HYPERLINK("https://my.zakupki.prom.ua/remote/dispatcher/state_purchase_view/20875533", "UA-2020-11-09-000784-c")</f>
        <v/>
      </c>
      <c r="C787" t="s" s="2">
        <v>3245</v>
      </c>
      <c r="D787" s="2">
        <f>HYPERLINK("https://my.zakupki.prom.ua/remote/dispatcher/state_contracting_view/6248820", "UA-2020-11-09-000784-c-c1")</f>
        <v/>
      </c>
      <c r="E787" t="s" s="1">
        <v>1605</v>
      </c>
      <c r="F787" t="s" s="1">
        <v>3052</v>
      </c>
      <c r="G787" t="s" s="1">
        <v>3052</v>
      </c>
      <c r="H787" t="s" s="1">
        <v>1006</v>
      </c>
      <c r="I787" t="s" s="1">
        <v>2361</v>
      </c>
      <c r="J787" t="s" s="1">
        <v>3251</v>
      </c>
      <c r="K787" t="s" s="1">
        <v>486</v>
      </c>
      <c r="L787" t="s" s="1">
        <v>3272</v>
      </c>
      <c r="M787" t="n" s="5">
        <v>765.95</v>
      </c>
      <c r="N787" t="n" s="7">
        <v>44144.0</v>
      </c>
      <c r="O787" t="n" s="7">
        <v>44196.0</v>
      </c>
      <c r="P787" t="s" s="1">
        <v>3499</v>
      </c>
    </row>
    <row r="788" spans="1:16">
      <c r="A788" t="n" s="4">
        <v>783</v>
      </c>
      <c r="B788" s="2">
        <f>HYPERLINK("https://my.zakupki.prom.ua/remote/dispatcher/state_purchase_view/20600368", "UA-2020-10-29-007453-c")</f>
        <v/>
      </c>
      <c r="C788" t="s" s="2">
        <v>3245</v>
      </c>
      <c r="D788" s="2">
        <f>HYPERLINK("https://my.zakupki.prom.ua/remote/dispatcher/state_contracting_view/6118676", "UA-2020-10-29-007453-c-c1")</f>
        <v/>
      </c>
      <c r="E788" t="s" s="1">
        <v>2067</v>
      </c>
      <c r="F788" t="s" s="1">
        <v>2547</v>
      </c>
      <c r="G788" t="s" s="1">
        <v>2547</v>
      </c>
      <c r="H788" t="s" s="1">
        <v>209</v>
      </c>
      <c r="I788" t="s" s="1">
        <v>2361</v>
      </c>
      <c r="J788" t="s" s="1">
        <v>3467</v>
      </c>
      <c r="K788" t="s" s="1">
        <v>766</v>
      </c>
      <c r="L788" t="s" s="1">
        <v>1608</v>
      </c>
      <c r="M788" t="n" s="5">
        <v>10335.0</v>
      </c>
      <c r="N788" t="n" s="7">
        <v>44132.0</v>
      </c>
      <c r="O788" t="n" s="7">
        <v>44196.0</v>
      </c>
      <c r="P788" t="s" s="1">
        <v>3499</v>
      </c>
    </row>
    <row r="789" spans="1:16">
      <c r="A789" t="n" s="4">
        <v>784</v>
      </c>
      <c r="B789" s="2">
        <f>HYPERLINK("https://my.zakupki.prom.ua/remote/dispatcher/state_purchase_view/20741044", "UA-2020-11-04-004734-c")</f>
        <v/>
      </c>
      <c r="C789" t="s" s="2">
        <v>3245</v>
      </c>
      <c r="D789" s="2">
        <f>HYPERLINK("https://my.zakupki.prom.ua/remote/dispatcher/state_contracting_view/6184377", "UA-2020-11-04-004734-c-c1")</f>
        <v/>
      </c>
      <c r="E789" t="s" s="1">
        <v>2243</v>
      </c>
      <c r="F789" t="s" s="1">
        <v>2621</v>
      </c>
      <c r="G789" t="s" s="1">
        <v>2621</v>
      </c>
      <c r="H789" t="s" s="1">
        <v>225</v>
      </c>
      <c r="I789" t="s" s="1">
        <v>2361</v>
      </c>
      <c r="J789" t="s" s="1">
        <v>3467</v>
      </c>
      <c r="K789" t="s" s="1">
        <v>766</v>
      </c>
      <c r="L789" t="s" s="1">
        <v>1635</v>
      </c>
      <c r="M789" t="n" s="5">
        <v>2037.5</v>
      </c>
      <c r="N789" t="n" s="7">
        <v>44137.0</v>
      </c>
      <c r="O789" t="n" s="7">
        <v>44196.0</v>
      </c>
      <c r="P789" t="s" s="1">
        <v>3499</v>
      </c>
    </row>
    <row r="790" spans="1:16">
      <c r="A790" t="n" s="4">
        <v>785</v>
      </c>
      <c r="B790" s="2">
        <f>HYPERLINK("https://my.zakupki.prom.ua/remote/dispatcher/state_purchase_view/21171344", "UA-2020-11-18-000972-c")</f>
        <v/>
      </c>
      <c r="C790" t="s" s="2">
        <v>3245</v>
      </c>
      <c r="D790" s="2">
        <f>HYPERLINK("https://my.zakupki.prom.ua/remote/dispatcher/state_contracting_view/6387591", "UA-2020-11-18-000972-c-c1")</f>
        <v/>
      </c>
      <c r="E790" t="s" s="1">
        <v>1729</v>
      </c>
      <c r="F790" t="s" s="1">
        <v>2547</v>
      </c>
      <c r="G790" t="s" s="1">
        <v>2547</v>
      </c>
      <c r="H790" t="s" s="1">
        <v>209</v>
      </c>
      <c r="I790" t="s" s="1">
        <v>2361</v>
      </c>
      <c r="J790" t="s" s="1">
        <v>3467</v>
      </c>
      <c r="K790" t="s" s="1">
        <v>766</v>
      </c>
      <c r="L790" t="s" s="1">
        <v>1752</v>
      </c>
      <c r="M790" t="n" s="5">
        <v>3975.0</v>
      </c>
      <c r="N790" t="n" s="7">
        <v>44151.0</v>
      </c>
      <c r="O790" t="n" s="7">
        <v>44196.0</v>
      </c>
      <c r="P790" t="s" s="1">
        <v>3499</v>
      </c>
    </row>
    <row r="791" spans="1:16">
      <c r="A791" t="n" s="4">
        <v>786</v>
      </c>
      <c r="B791" s="2">
        <f>HYPERLINK("https://my.zakupki.prom.ua/remote/dispatcher/state_purchase_view/21290054", "UA-2020-11-20-009456-c")</f>
        <v/>
      </c>
      <c r="C791" t="s" s="2">
        <v>3245</v>
      </c>
      <c r="D791" s="2">
        <f>HYPERLINK("https://my.zakupki.prom.ua/remote/dispatcher/state_contracting_view/6442150", "UA-2020-11-20-009456-c-c1")</f>
        <v/>
      </c>
      <c r="E791" t="s" s="1">
        <v>1574</v>
      </c>
      <c r="F791" t="s" s="1">
        <v>3013</v>
      </c>
      <c r="G791" t="s" s="1">
        <v>3012</v>
      </c>
      <c r="H791" t="s" s="1">
        <v>855</v>
      </c>
      <c r="I791" t="s" s="1">
        <v>2361</v>
      </c>
      <c r="J791" t="s" s="1">
        <v>3346</v>
      </c>
      <c r="K791" t="s" s="1">
        <v>680</v>
      </c>
      <c r="L791" t="s" s="1">
        <v>1771</v>
      </c>
      <c r="M791" t="n" s="5">
        <v>61250.0</v>
      </c>
      <c r="N791" t="n" s="7">
        <v>44155.0</v>
      </c>
      <c r="O791" t="n" s="7">
        <v>44196.0</v>
      </c>
      <c r="P791" t="s" s="1">
        <v>3499</v>
      </c>
    </row>
    <row r="792" spans="1:16">
      <c r="A792" t="n" s="4">
        <v>787</v>
      </c>
      <c r="B792" s="2">
        <f>HYPERLINK("https://my.zakupki.prom.ua/remote/dispatcher/state_purchase_view/20884367", "UA-2020-11-09-003786-c")</f>
        <v/>
      </c>
      <c r="C792" t="s" s="2">
        <v>3245</v>
      </c>
      <c r="D792" s="2">
        <f>HYPERLINK("https://my.zakupki.prom.ua/remote/dispatcher/state_contracting_view/6252915", "UA-2020-11-09-003786-c-c1")</f>
        <v/>
      </c>
      <c r="E792" t="s" s="1">
        <v>2017</v>
      </c>
      <c r="F792" t="s" s="1">
        <v>3030</v>
      </c>
      <c r="G792" t="s" s="1">
        <v>3030</v>
      </c>
      <c r="H792" t="s" s="1">
        <v>868</v>
      </c>
      <c r="I792" t="s" s="1">
        <v>2361</v>
      </c>
      <c r="J792" t="s" s="1">
        <v>3251</v>
      </c>
      <c r="K792" t="s" s="1">
        <v>486</v>
      </c>
      <c r="L792" t="s" s="1">
        <v>3281</v>
      </c>
      <c r="M792" t="n" s="5">
        <v>10453.0</v>
      </c>
      <c r="N792" t="n" s="7">
        <v>44144.0</v>
      </c>
      <c r="O792" t="n" s="7">
        <v>44196.0</v>
      </c>
      <c r="P792" t="s" s="1">
        <v>3499</v>
      </c>
    </row>
    <row r="793" spans="1:16">
      <c r="A793" t="n" s="4">
        <v>788</v>
      </c>
      <c r="B793" s="2">
        <f>HYPERLINK("https://my.zakupki.prom.ua/remote/dispatcher/state_purchase_view/20883527", "UA-2020-11-09-003527-c")</f>
        <v/>
      </c>
      <c r="C793" t="s" s="2">
        <v>3245</v>
      </c>
      <c r="D793" s="2">
        <f>HYPERLINK("https://my.zakupki.prom.ua/remote/dispatcher/state_contracting_view/6252486", "UA-2020-11-09-003527-c-c1")</f>
        <v/>
      </c>
      <c r="E793" t="s" s="1">
        <v>312</v>
      </c>
      <c r="F793" t="s" s="1">
        <v>2636</v>
      </c>
      <c r="G793" t="s" s="1">
        <v>2636</v>
      </c>
      <c r="H793" t="s" s="1">
        <v>281</v>
      </c>
      <c r="I793" t="s" s="1">
        <v>2361</v>
      </c>
      <c r="J793" t="s" s="1">
        <v>3251</v>
      </c>
      <c r="K793" t="s" s="1">
        <v>486</v>
      </c>
      <c r="L793" t="s" s="1">
        <v>3289</v>
      </c>
      <c r="M793" t="n" s="5">
        <v>2794.5</v>
      </c>
      <c r="N793" t="n" s="7">
        <v>44144.0</v>
      </c>
      <c r="O793" t="n" s="7">
        <v>44196.0</v>
      </c>
      <c r="P793" t="s" s="1">
        <v>3499</v>
      </c>
    </row>
    <row r="794" spans="1:16">
      <c r="A794" t="n" s="4">
        <v>789</v>
      </c>
      <c r="B794" s="2">
        <f>HYPERLINK("https://my.zakupki.prom.ua/remote/dispatcher/state_purchase_view/20578097", "UA-2020-10-29-001487-c")</f>
        <v/>
      </c>
      <c r="C794" t="s" s="2">
        <v>3245</v>
      </c>
      <c r="D794" s="2">
        <f>HYPERLINK("https://my.zakupki.prom.ua/remote/dispatcher/state_contracting_view/6109292", "UA-2020-10-29-001487-c-c1")</f>
        <v/>
      </c>
      <c r="E794" t="s" s="1">
        <v>1953</v>
      </c>
      <c r="F794" t="s" s="1">
        <v>3075</v>
      </c>
      <c r="G794" t="s" s="1">
        <v>3075</v>
      </c>
      <c r="H794" t="s" s="1">
        <v>1026</v>
      </c>
      <c r="I794" t="s" s="1">
        <v>2361</v>
      </c>
      <c r="J794" t="s" s="1">
        <v>3251</v>
      </c>
      <c r="K794" t="s" s="1">
        <v>486</v>
      </c>
      <c r="L794" t="s" s="1">
        <v>3292</v>
      </c>
      <c r="M794" t="n" s="5">
        <v>127.94</v>
      </c>
      <c r="N794" t="n" s="7">
        <v>44133.0</v>
      </c>
      <c r="O794" t="n" s="7">
        <v>44196.0</v>
      </c>
      <c r="P794" t="s" s="1">
        <v>3499</v>
      </c>
    </row>
    <row r="795" spans="1:16">
      <c r="A795" t="n" s="4">
        <v>790</v>
      </c>
      <c r="B795" s="2">
        <f>HYPERLINK("https://my.zakupki.prom.ua/remote/dispatcher/state_purchase_view/21508830", "UA-2020-11-27-001476-b")</f>
        <v/>
      </c>
      <c r="C795" t="s" s="2">
        <v>3245</v>
      </c>
      <c r="D795" s="2">
        <f>HYPERLINK("https://my.zakupki.prom.ua/remote/dispatcher/state_contracting_view/6545248", "UA-2020-11-27-001476-b-b1")</f>
        <v/>
      </c>
      <c r="E795" t="s" s="1">
        <v>473</v>
      </c>
      <c r="F795" t="s" s="1">
        <v>2829</v>
      </c>
      <c r="G795" t="s" s="1">
        <v>2829</v>
      </c>
      <c r="H795" t="s" s="1">
        <v>703</v>
      </c>
      <c r="I795" t="s" s="1">
        <v>2361</v>
      </c>
      <c r="J795" t="s" s="1">
        <v>2356</v>
      </c>
      <c r="K795" t="s" s="1">
        <v>424</v>
      </c>
      <c r="L795" t="s" s="1">
        <v>1803</v>
      </c>
      <c r="M795" t="n" s="5">
        <v>10650.0</v>
      </c>
      <c r="N795" t="n" s="7">
        <v>44162.0</v>
      </c>
      <c r="O795" t="n" s="7">
        <v>44196.0</v>
      </c>
      <c r="P795" t="s" s="1">
        <v>3499</v>
      </c>
    </row>
    <row r="796" spans="1:16">
      <c r="A796" t="n" s="4">
        <v>791</v>
      </c>
      <c r="B796" s="2">
        <f>HYPERLINK("https://my.zakupki.prom.ua/remote/dispatcher/state_purchase_view/21504776", "UA-2020-11-27-000321-b")</f>
        <v/>
      </c>
      <c r="C796" t="s" s="2">
        <v>3245</v>
      </c>
      <c r="D796" s="2">
        <f>HYPERLINK("https://my.zakupki.prom.ua/remote/dispatcher/state_contracting_view/6542868", "UA-2020-11-27-000321-b-b1")</f>
        <v/>
      </c>
      <c r="E796" t="s" s="1">
        <v>2079</v>
      </c>
      <c r="F796" t="s" s="1">
        <v>2868</v>
      </c>
      <c r="G796" t="s" s="1">
        <v>3481</v>
      </c>
      <c r="H796" t="s" s="1">
        <v>718</v>
      </c>
      <c r="I796" t="s" s="1">
        <v>2361</v>
      </c>
      <c r="J796" t="s" s="1">
        <v>3392</v>
      </c>
      <c r="K796" t="s" s="1">
        <v>428</v>
      </c>
      <c r="L796" t="s" s="1">
        <v>1802</v>
      </c>
      <c r="M796" t="n" s="5">
        <v>58827.5</v>
      </c>
      <c r="N796" t="n" s="7">
        <v>44162.0</v>
      </c>
      <c r="O796" t="n" s="7">
        <v>44196.0</v>
      </c>
      <c r="P796" t="s" s="1">
        <v>3499</v>
      </c>
    </row>
    <row r="797" spans="1:16">
      <c r="A797" t="n" s="4">
        <v>792</v>
      </c>
      <c r="B797" s="2">
        <f>HYPERLINK("https://my.zakupki.prom.ua/remote/dispatcher/state_purchase_view/20020824", "UA-2020-10-12-003124-b")</f>
        <v/>
      </c>
      <c r="C797" t="s" s="2">
        <v>3245</v>
      </c>
      <c r="D797" s="2">
        <f>HYPERLINK("https://my.zakupki.prom.ua/remote/dispatcher/state_contracting_view/5837249", "UA-2020-10-12-003124-b-b1")</f>
        <v/>
      </c>
      <c r="E797" t="s" s="1">
        <v>2226</v>
      </c>
      <c r="F797" t="s" s="1">
        <v>2652</v>
      </c>
      <c r="G797" t="s" s="1">
        <v>2652</v>
      </c>
      <c r="H797" t="s" s="1">
        <v>406</v>
      </c>
      <c r="I797" t="s" s="1">
        <v>2361</v>
      </c>
      <c r="J797" t="s" s="1">
        <v>2340</v>
      </c>
      <c r="K797" t="s" s="1">
        <v>660</v>
      </c>
      <c r="L797" t="s" s="1">
        <v>914</v>
      </c>
      <c r="M797" t="n" s="5">
        <v>1196.0</v>
      </c>
      <c r="N797" t="n" s="7">
        <v>44113.0</v>
      </c>
      <c r="O797" t="n" s="7">
        <v>44196.0</v>
      </c>
      <c r="P797" t="s" s="1">
        <v>3499</v>
      </c>
    </row>
    <row r="798" spans="1:16">
      <c r="A798" t="n" s="4">
        <v>793</v>
      </c>
      <c r="B798" s="2">
        <f>HYPERLINK("https://my.zakupki.prom.ua/remote/dispatcher/state_purchase_view/22710350", "UA-2020-12-28-005092-c")</f>
        <v/>
      </c>
      <c r="C798" t="s" s="2">
        <v>3245</v>
      </c>
      <c r="D798" s="2">
        <f>HYPERLINK("https://my.zakupki.prom.ua/remote/dispatcher/state_contracting_view/7119350", "UA-2020-12-28-005092-c-c1")</f>
        <v/>
      </c>
      <c r="E798" t="s" s="1">
        <v>2269</v>
      </c>
      <c r="F798" t="s" s="1">
        <v>3078</v>
      </c>
      <c r="G798" t="s" s="1">
        <v>3079</v>
      </c>
      <c r="H798" t="s" s="1">
        <v>1028</v>
      </c>
      <c r="I798" t="s" s="1">
        <v>2361</v>
      </c>
      <c r="J798" t="s" s="1">
        <v>3404</v>
      </c>
      <c r="K798" t="s" s="1">
        <v>966</v>
      </c>
      <c r="L798" t="s" s="1">
        <v>142</v>
      </c>
      <c r="M798" t="n" s="5">
        <v>1045000.0</v>
      </c>
      <c r="N798" t="n" s="7">
        <v>44189.0</v>
      </c>
      <c r="O798" t="n" s="7">
        <v>44196.0</v>
      </c>
      <c r="P798" t="s" s="1">
        <v>3499</v>
      </c>
    </row>
    <row r="799" spans="1:16">
      <c r="A799" t="n" s="4">
        <v>794</v>
      </c>
      <c r="B799" s="2">
        <f>HYPERLINK("https://my.zakupki.prom.ua/remote/dispatcher/state_purchase_view/22772822", "UA-2020-12-29-007319-a")</f>
        <v/>
      </c>
      <c r="C799" t="s" s="2">
        <v>3245</v>
      </c>
      <c r="D799" s="2">
        <f>HYPERLINK("https://my.zakupki.prom.ua/remote/dispatcher/state_contracting_view/7150380", "UA-2020-12-29-007319-a-a1")</f>
        <v/>
      </c>
      <c r="E799" t="s" s="1">
        <v>2208</v>
      </c>
      <c r="F799" t="s" s="1">
        <v>2639</v>
      </c>
      <c r="G799" t="s" s="1">
        <v>2639</v>
      </c>
      <c r="H799" t="s" s="1">
        <v>297</v>
      </c>
      <c r="I799" t="s" s="1">
        <v>2361</v>
      </c>
      <c r="J799" t="s" s="1">
        <v>3467</v>
      </c>
      <c r="K799" t="s" s="1">
        <v>766</v>
      </c>
      <c r="L799" t="s" s="1">
        <v>133</v>
      </c>
      <c r="M799" t="n" s="5">
        <v>10476.0</v>
      </c>
      <c r="N799" t="n" s="7">
        <v>44193.0</v>
      </c>
      <c r="O799" t="n" s="7">
        <v>44196.0</v>
      </c>
      <c r="P799" t="s" s="1">
        <v>3499</v>
      </c>
    </row>
    <row r="800" spans="1:16">
      <c r="A800" t="n" s="4">
        <v>795</v>
      </c>
      <c r="B800" s="2">
        <f>HYPERLINK("https://my.zakupki.prom.ua/remote/dispatcher/state_purchase_view/20984562", "UA-2020-11-11-009869-a")</f>
        <v/>
      </c>
      <c r="C800" t="s" s="2">
        <v>3245</v>
      </c>
      <c r="D800" s="2">
        <f>HYPERLINK("https://my.zakupki.prom.ua/remote/dispatcher/state_contracting_view/6300742", "UA-2020-11-11-009869-a-a1")</f>
        <v/>
      </c>
      <c r="E800" t="s" s="1">
        <v>1106</v>
      </c>
      <c r="F800" t="s" s="1">
        <v>2613</v>
      </c>
      <c r="G800" t="s" s="1">
        <v>2613</v>
      </c>
      <c r="H800" t="s" s="1">
        <v>225</v>
      </c>
      <c r="I800" t="s" s="1">
        <v>2361</v>
      </c>
      <c r="J800" t="s" s="1">
        <v>3467</v>
      </c>
      <c r="K800" t="s" s="1">
        <v>766</v>
      </c>
      <c r="L800" t="s" s="1">
        <v>1686</v>
      </c>
      <c r="M800" t="n" s="5">
        <v>5565.0</v>
      </c>
      <c r="N800" t="n" s="7">
        <v>44146.0</v>
      </c>
      <c r="O800" t="n" s="7">
        <v>44196.0</v>
      </c>
      <c r="P800" t="s" s="1">
        <v>3499</v>
      </c>
    </row>
    <row r="801" spans="1:16">
      <c r="A801" t="n" s="4">
        <v>796</v>
      </c>
      <c r="B801" s="2">
        <f>HYPERLINK("https://my.zakupki.prom.ua/remote/dispatcher/state_purchase_view/20986305", "UA-2020-11-11-010325-a")</f>
        <v/>
      </c>
      <c r="C801" t="s" s="2">
        <v>3245</v>
      </c>
      <c r="D801" s="2">
        <f>HYPERLINK("https://my.zakupki.prom.ua/remote/dispatcher/state_contracting_view/6301501", "UA-2020-11-11-010325-a-a1")</f>
        <v/>
      </c>
      <c r="E801" t="s" s="1">
        <v>1284</v>
      </c>
      <c r="F801" t="s" s="1">
        <v>3036</v>
      </c>
      <c r="G801" t="s" s="1">
        <v>3036</v>
      </c>
      <c r="H801" t="s" s="1">
        <v>873</v>
      </c>
      <c r="I801" t="s" s="1">
        <v>2361</v>
      </c>
      <c r="J801" t="s" s="1">
        <v>3467</v>
      </c>
      <c r="K801" t="s" s="1">
        <v>766</v>
      </c>
      <c r="L801" t="s" s="1">
        <v>1694</v>
      </c>
      <c r="M801" t="n" s="5">
        <v>6391.2</v>
      </c>
      <c r="N801" t="n" s="7">
        <v>44146.0</v>
      </c>
      <c r="O801" t="n" s="7">
        <v>44196.0</v>
      </c>
      <c r="P801" t="s" s="1">
        <v>3499</v>
      </c>
    </row>
    <row r="802" spans="1:16">
      <c r="A802" t="n" s="4">
        <v>797</v>
      </c>
      <c r="B802" s="2">
        <f>HYPERLINK("https://my.zakupki.prom.ua/remote/dispatcher/state_purchase_view/20986977", "UA-2020-11-11-010557-a")</f>
        <v/>
      </c>
      <c r="C802" t="s" s="2">
        <v>3245</v>
      </c>
      <c r="D802" s="2">
        <f>HYPERLINK("https://my.zakupki.prom.ua/remote/dispatcher/state_contracting_view/6301999", "UA-2020-11-11-010557-a-a1")</f>
        <v/>
      </c>
      <c r="E802" t="s" s="1">
        <v>879</v>
      </c>
      <c r="F802" t="s" s="1">
        <v>2790</v>
      </c>
      <c r="G802" t="s" s="1">
        <v>2790</v>
      </c>
      <c r="H802" t="s" s="1">
        <v>690</v>
      </c>
      <c r="I802" t="s" s="1">
        <v>2361</v>
      </c>
      <c r="J802" t="s" s="1">
        <v>3467</v>
      </c>
      <c r="K802" t="s" s="1">
        <v>766</v>
      </c>
      <c r="L802" t="s" s="1">
        <v>1690</v>
      </c>
      <c r="M802" t="n" s="5">
        <v>1500.0</v>
      </c>
      <c r="N802" t="n" s="7">
        <v>44146.0</v>
      </c>
      <c r="O802" t="n" s="7">
        <v>44196.0</v>
      </c>
      <c r="P802" t="s" s="1">
        <v>3499</v>
      </c>
    </row>
    <row r="803" spans="1:16">
      <c r="A803" t="n" s="4">
        <v>798</v>
      </c>
      <c r="B803" s="2">
        <f>HYPERLINK("https://my.zakupki.prom.ua/remote/dispatcher/state_purchase_view/21835751", "UA-2020-12-07-003955-c")</f>
        <v/>
      </c>
      <c r="C803" t="s" s="2">
        <v>3245</v>
      </c>
      <c r="D803" s="2">
        <f>HYPERLINK("https://my.zakupki.prom.ua/remote/dispatcher/state_contracting_view/6696702", "UA-2020-12-07-003955-c-c1")</f>
        <v/>
      </c>
      <c r="E803" t="s" s="1">
        <v>802</v>
      </c>
      <c r="F803" t="s" s="1">
        <v>2973</v>
      </c>
      <c r="G803" t="s" s="1">
        <v>2973</v>
      </c>
      <c r="H803" t="s" s="1">
        <v>829</v>
      </c>
      <c r="I803" t="s" s="1">
        <v>2361</v>
      </c>
      <c r="J803" t="s" s="1">
        <v>2358</v>
      </c>
      <c r="K803" t="s" s="1">
        <v>376</v>
      </c>
      <c r="L803" t="s" s="1">
        <v>1834</v>
      </c>
      <c r="M803" t="n" s="5">
        <v>34500.0</v>
      </c>
      <c r="N803" t="n" s="7">
        <v>44172.0</v>
      </c>
      <c r="O803" t="n" s="7">
        <v>44196.0</v>
      </c>
      <c r="P803" t="s" s="1">
        <v>3499</v>
      </c>
    </row>
    <row r="804" spans="1:16">
      <c r="A804" t="n" s="4">
        <v>799</v>
      </c>
      <c r="B804" s="2">
        <f>HYPERLINK("https://my.zakupki.prom.ua/remote/dispatcher/state_purchase_view/21853330", "UA-2020-12-08-000435-c")</f>
        <v/>
      </c>
      <c r="C804" t="s" s="2">
        <v>3245</v>
      </c>
      <c r="D804" s="2">
        <f>HYPERLINK("https://my.zakupki.prom.ua/remote/dispatcher/state_contracting_view/6704785", "UA-2020-12-08-000435-c-c1")</f>
        <v/>
      </c>
      <c r="E804" t="s" s="1">
        <v>1445</v>
      </c>
      <c r="F804" t="s" s="1">
        <v>2734</v>
      </c>
      <c r="G804" t="s" s="1">
        <v>2734</v>
      </c>
      <c r="H804" t="s" s="1">
        <v>688</v>
      </c>
      <c r="I804" t="s" s="1">
        <v>2361</v>
      </c>
      <c r="J804" t="s" s="1">
        <v>2358</v>
      </c>
      <c r="K804" t="s" s="1">
        <v>376</v>
      </c>
      <c r="L804" t="s" s="1">
        <v>1838</v>
      </c>
      <c r="M804" t="n" s="5">
        <v>10700.0</v>
      </c>
      <c r="N804" t="n" s="7">
        <v>44172.0</v>
      </c>
      <c r="O804" t="n" s="7">
        <v>44196.0</v>
      </c>
      <c r="P804" t="s" s="1">
        <v>3499</v>
      </c>
    </row>
    <row r="805" spans="1:16">
      <c r="A805" t="n" s="4">
        <v>800</v>
      </c>
      <c r="B805" s="2">
        <f>HYPERLINK("https://my.zakupki.prom.ua/remote/dispatcher/state_purchase_view/15495489", "UA-2020-02-26-002342-a")</f>
        <v/>
      </c>
      <c r="C805" t="s" s="2">
        <v>3245</v>
      </c>
      <c r="D805" s="2">
        <f>HYPERLINK("https://my.zakupki.prom.ua/remote/dispatcher/state_contracting_view/3929388", "UA-2020-02-26-002342-a-a1")</f>
        <v/>
      </c>
      <c r="E805" t="s" s="1">
        <v>2212</v>
      </c>
      <c r="F805" t="s" s="1">
        <v>77</v>
      </c>
      <c r="G805" t="s" s="1">
        <v>77</v>
      </c>
      <c r="H805" t="s" s="1">
        <v>77</v>
      </c>
      <c r="I805" t="s" s="1">
        <v>3312</v>
      </c>
      <c r="J805" t="s" s="1">
        <v>3399</v>
      </c>
      <c r="K805" t="s" s="1">
        <v>957</v>
      </c>
      <c r="L805" t="s" s="1">
        <v>711</v>
      </c>
      <c r="M805" t="n" s="5">
        <v>635000.0</v>
      </c>
      <c r="N805" t="n" s="7">
        <v>43902.0</v>
      </c>
      <c r="O805" t="n" s="7">
        <v>44196.0</v>
      </c>
      <c r="P805" t="s" s="1">
        <v>3499</v>
      </c>
    </row>
    <row r="806" spans="1:16">
      <c r="A806" t="n" s="4">
        <v>801</v>
      </c>
      <c r="B806" s="2">
        <f>HYPERLINK("https://my.zakupki.prom.ua/remote/dispatcher/state_purchase_view/21477240", "UA-2020-11-26-006040-b")</f>
        <v/>
      </c>
      <c r="C806" t="s" s="2">
        <v>3245</v>
      </c>
      <c r="D806" s="2">
        <f>HYPERLINK("https://my.zakupki.prom.ua/remote/dispatcher/state_contracting_view/6530102", "UA-2020-11-26-006040-b-b1")</f>
        <v/>
      </c>
      <c r="E806" t="s" s="1">
        <v>2273</v>
      </c>
      <c r="F806" t="s" s="1">
        <v>2656</v>
      </c>
      <c r="G806" t="s" s="1">
        <v>3544</v>
      </c>
      <c r="H806" t="s" s="1">
        <v>441</v>
      </c>
      <c r="I806" t="s" s="1">
        <v>2361</v>
      </c>
      <c r="J806" t="s" s="1">
        <v>3300</v>
      </c>
      <c r="K806" t="s" s="1">
        <v>593</v>
      </c>
      <c r="L806" t="s" s="1">
        <v>1798</v>
      </c>
      <c r="M806" t="n" s="5">
        <v>1171.5</v>
      </c>
      <c r="N806" t="n" s="7">
        <v>44161.0</v>
      </c>
      <c r="O806" t="n" s="7">
        <v>44196.0</v>
      </c>
      <c r="P806" t="s" s="1">
        <v>3499</v>
      </c>
    </row>
    <row r="807" spans="1:16">
      <c r="A807" t="n" s="4">
        <v>802</v>
      </c>
      <c r="B807" s="2">
        <f>HYPERLINK("https://my.zakupki.prom.ua/remote/dispatcher/state_purchase_view/21486922", "UA-2020-11-26-008637-b")</f>
        <v/>
      </c>
      <c r="C807" t="s" s="2">
        <v>3245</v>
      </c>
      <c r="D807" s="2">
        <f>HYPERLINK("https://my.zakupki.prom.ua/remote/dispatcher/state_contracting_view/6534369", "UA-2020-11-26-008637-b-b1")</f>
        <v/>
      </c>
      <c r="E807" t="s" s="1">
        <v>1641</v>
      </c>
      <c r="F807" t="s" s="1">
        <v>2610</v>
      </c>
      <c r="G807" t="s" s="1">
        <v>3532</v>
      </c>
      <c r="H807" t="s" s="1">
        <v>225</v>
      </c>
      <c r="I807" t="s" s="1">
        <v>2361</v>
      </c>
      <c r="J807" t="s" s="1">
        <v>3467</v>
      </c>
      <c r="K807" t="s" s="1">
        <v>766</v>
      </c>
      <c r="L807" t="s" s="1">
        <v>1799</v>
      </c>
      <c r="M807" t="n" s="5">
        <v>28620.0</v>
      </c>
      <c r="N807" t="n" s="7">
        <v>44160.0</v>
      </c>
      <c r="O807" t="n" s="7">
        <v>44196.0</v>
      </c>
      <c r="P807" t="s" s="1">
        <v>3499</v>
      </c>
    </row>
    <row r="808" spans="1:16">
      <c r="A808" t="n" s="4">
        <v>803</v>
      </c>
      <c r="B808" s="2">
        <f>HYPERLINK("https://my.zakupki.prom.ua/remote/dispatcher/state_purchase_view/22778157", "UA-2020-12-29-008762-a")</f>
        <v/>
      </c>
      <c r="C808" t="s" s="2">
        <v>3245</v>
      </c>
      <c r="D808" s="2">
        <f>HYPERLINK("https://my.zakupki.prom.ua/remote/dispatcher/state_contracting_view/7152803", "UA-2020-12-29-008762-a-a1")</f>
        <v/>
      </c>
      <c r="E808" t="s" s="1">
        <v>187</v>
      </c>
      <c r="F808" t="s" s="1">
        <v>3125</v>
      </c>
      <c r="G808" t="s" s="1">
        <v>3125</v>
      </c>
      <c r="H808" t="s" s="1">
        <v>1496</v>
      </c>
      <c r="I808" t="s" s="1">
        <v>2361</v>
      </c>
      <c r="J808" t="s" s="1">
        <v>2294</v>
      </c>
      <c r="K808" t="s" s="1">
        <v>288</v>
      </c>
      <c r="L808" t="s" s="1">
        <v>21</v>
      </c>
      <c r="M808" t="n" s="5">
        <v>833.0</v>
      </c>
      <c r="N808" t="n" s="7">
        <v>44194.0</v>
      </c>
      <c r="O808" t="n" s="7">
        <v>44196.0</v>
      </c>
      <c r="P808" t="s" s="1">
        <v>3499</v>
      </c>
    </row>
    <row r="809" spans="1:16">
      <c r="A809" t="n" s="4">
        <v>804</v>
      </c>
      <c r="B809" s="2">
        <f>HYPERLINK("https://my.zakupki.prom.ua/remote/dispatcher/state_purchase_view/21987522", "UA-2020-12-10-005349-c")</f>
        <v/>
      </c>
      <c r="C809" t="s" s="2">
        <v>3245</v>
      </c>
      <c r="D809" s="2">
        <f>HYPERLINK("https://my.zakupki.prom.ua/remote/dispatcher/state_contracting_view/6768834", "UA-2020-12-10-005349-c-c1")</f>
        <v/>
      </c>
      <c r="E809" t="s" s="1">
        <v>1125</v>
      </c>
      <c r="F809" t="s" s="1">
        <v>2792</v>
      </c>
      <c r="G809" t="s" s="1">
        <v>3539</v>
      </c>
      <c r="H809" t="s" s="1">
        <v>690</v>
      </c>
      <c r="I809" t="s" s="1">
        <v>2361</v>
      </c>
      <c r="J809" t="s" s="1">
        <v>3377</v>
      </c>
      <c r="K809" t="s" s="1">
        <v>722</v>
      </c>
      <c r="L809" t="s" s="1">
        <v>937</v>
      </c>
      <c r="M809" t="n" s="5">
        <v>137800.0</v>
      </c>
      <c r="N809" t="n" s="7">
        <v>44174.0</v>
      </c>
      <c r="O809" t="n" s="7">
        <v>44196.0</v>
      </c>
      <c r="P809" t="s" s="1">
        <v>3499</v>
      </c>
    </row>
    <row r="810" spans="1:16">
      <c r="A810" t="n" s="4">
        <v>805</v>
      </c>
      <c r="B810" s="2">
        <f>HYPERLINK("https://my.zakupki.prom.ua/remote/dispatcher/state_purchase_view/21426323", "UA-2020-11-25-006978-c")</f>
        <v/>
      </c>
      <c r="C810" t="s" s="2">
        <v>3245</v>
      </c>
      <c r="D810" s="2">
        <f>HYPERLINK("https://my.zakupki.prom.ua/remote/dispatcher/state_contracting_view/6506429", "UA-2020-11-25-006978-c-c1")</f>
        <v/>
      </c>
      <c r="E810" t="s" s="1">
        <v>2253</v>
      </c>
      <c r="F810" t="s" s="1">
        <v>2730</v>
      </c>
      <c r="G810" t="s" s="1">
        <v>2730</v>
      </c>
      <c r="H810" t="s" s="1">
        <v>687</v>
      </c>
      <c r="I810" t="s" s="1">
        <v>2361</v>
      </c>
      <c r="J810" t="s" s="1">
        <v>3396</v>
      </c>
      <c r="K810" t="s" s="1">
        <v>856</v>
      </c>
      <c r="L810" t="s" s="1">
        <v>1793</v>
      </c>
      <c r="M810" t="n" s="5">
        <v>1482520.0</v>
      </c>
      <c r="N810" t="n" s="7">
        <v>44160.0</v>
      </c>
      <c r="O810" t="n" s="7">
        <v>44196.0</v>
      </c>
      <c r="P810" t="s" s="1">
        <v>3499</v>
      </c>
    </row>
    <row r="811" spans="1:16">
      <c r="A811" t="n" s="4">
        <v>806</v>
      </c>
      <c r="B811" s="2">
        <f>HYPERLINK("https://my.zakupki.prom.ua/remote/dispatcher/state_purchase_view/21398742", "UA-2020-11-24-014546-c")</f>
        <v/>
      </c>
      <c r="C811" t="s" s="2">
        <v>3245</v>
      </c>
      <c r="D811" s="2">
        <f>HYPERLINK("https://my.zakupki.prom.ua/remote/dispatcher/state_contracting_view/6493593", "UA-2020-11-24-014546-c-c1")</f>
        <v/>
      </c>
      <c r="E811" t="s" s="1">
        <v>2100</v>
      </c>
      <c r="F811" t="s" s="1">
        <v>3117</v>
      </c>
      <c r="G811" t="s" s="1">
        <v>3117</v>
      </c>
      <c r="H811" t="s" s="1">
        <v>1493</v>
      </c>
      <c r="I811" t="s" s="1">
        <v>2361</v>
      </c>
      <c r="J811" t="s" s="1">
        <v>3298</v>
      </c>
      <c r="K811" t="s" s="1">
        <v>395</v>
      </c>
      <c r="L811" t="s" s="1">
        <v>1775</v>
      </c>
      <c r="M811" t="n" s="5">
        <v>2921.48</v>
      </c>
      <c r="N811" t="n" s="7">
        <v>44159.0</v>
      </c>
      <c r="O811" t="n" s="7">
        <v>44196.0</v>
      </c>
      <c r="P811" t="s" s="1">
        <v>3499</v>
      </c>
    </row>
    <row r="812" spans="1:16">
      <c r="A812" t="n" s="4">
        <v>807</v>
      </c>
      <c r="B812" s="2">
        <f>HYPERLINK("https://my.zakupki.prom.ua/remote/dispatcher/state_purchase_view/15097830", "UA-2020-02-05-001558-b")</f>
        <v/>
      </c>
      <c r="C812" t="s" s="2">
        <v>3245</v>
      </c>
      <c r="D812" s="2">
        <f>HYPERLINK("https://my.zakupki.prom.ua/remote/dispatcher/state_contracting_view/3752909", "UA-2020-02-05-001558-b-b1")</f>
        <v/>
      </c>
      <c r="E812" t="s" s="1">
        <v>194</v>
      </c>
      <c r="F812" t="s" s="1">
        <v>1669</v>
      </c>
      <c r="G812" t="s" s="1">
        <v>1669</v>
      </c>
      <c r="H812" t="s" s="1">
        <v>1668</v>
      </c>
      <c r="I812" t="s" s="1">
        <v>2361</v>
      </c>
      <c r="J812" t="s" s="1">
        <v>3392</v>
      </c>
      <c r="K812" t="s" s="1">
        <v>428</v>
      </c>
      <c r="L812" t="s" s="1">
        <v>268</v>
      </c>
      <c r="M812" t="n" s="5">
        <v>20000.0</v>
      </c>
      <c r="N812" t="n" s="7">
        <v>43866.0</v>
      </c>
      <c r="O812" t="n" s="7">
        <v>44196.0</v>
      </c>
      <c r="P812" t="s" s="1">
        <v>3499</v>
      </c>
    </row>
    <row r="813" spans="1:16">
      <c r="A813" t="n" s="4">
        <v>808</v>
      </c>
      <c r="B813" s="2">
        <f>HYPERLINK("https://my.zakupki.prom.ua/remote/dispatcher/state_purchase_view/15188475", "UA-2020-02-10-001317-b")</f>
        <v/>
      </c>
      <c r="C813" t="s" s="2">
        <v>3245</v>
      </c>
      <c r="D813" s="2">
        <f>HYPERLINK("https://my.zakupki.prom.ua/remote/dispatcher/state_contracting_view/3774224", "UA-2020-02-10-001317-b-b1")</f>
        <v/>
      </c>
      <c r="E813" t="s" s="1">
        <v>2119</v>
      </c>
      <c r="F813" t="s" s="1">
        <v>225</v>
      </c>
      <c r="G813" t="s" s="1">
        <v>225</v>
      </c>
      <c r="H813" t="s" s="1">
        <v>225</v>
      </c>
      <c r="I813" t="s" s="1">
        <v>2361</v>
      </c>
      <c r="J813" t="s" s="1">
        <v>3464</v>
      </c>
      <c r="K813" t="s" s="1">
        <v>351</v>
      </c>
      <c r="L813" t="s" s="1">
        <v>581</v>
      </c>
      <c r="M813" t="n" s="5">
        <v>11700.0</v>
      </c>
      <c r="N813" t="n" s="7">
        <v>43871.0</v>
      </c>
      <c r="O813" t="n" s="7">
        <v>44196.0</v>
      </c>
      <c r="P813" t="s" s="1">
        <v>3499</v>
      </c>
    </row>
    <row r="814" spans="1:16">
      <c r="A814" t="n" s="4">
        <v>809</v>
      </c>
      <c r="B814" s="2">
        <f>HYPERLINK("https://my.zakupki.prom.ua/remote/dispatcher/state_purchase_view/15696074", "UA-2020-03-11-001589-b")</f>
        <v/>
      </c>
      <c r="C814" t="s" s="2">
        <v>3245</v>
      </c>
      <c r="D814" s="2">
        <f>HYPERLINK("https://my.zakupki.prom.ua/remote/dispatcher/state_contracting_view/3917925", "UA-2020-03-11-001589-b-b1")</f>
        <v/>
      </c>
      <c r="E814" t="s" s="1">
        <v>1219</v>
      </c>
      <c r="F814" t="s" s="1">
        <v>2346</v>
      </c>
      <c r="G814" t="s" s="1">
        <v>2346</v>
      </c>
      <c r="H814" t="s" s="1">
        <v>445</v>
      </c>
      <c r="I814" t="s" s="1">
        <v>2361</v>
      </c>
      <c r="J814" t="s" s="1">
        <v>3417</v>
      </c>
      <c r="K814" t="s" s="1">
        <v>950</v>
      </c>
      <c r="L814" t="s" s="1">
        <v>3204</v>
      </c>
      <c r="M814" t="n" s="5">
        <v>1404.0</v>
      </c>
      <c r="N814" t="n" s="7">
        <v>43901.0</v>
      </c>
      <c r="O814" t="n" s="7">
        <v>44196.0</v>
      </c>
      <c r="P814" t="s" s="1">
        <v>3499</v>
      </c>
    </row>
    <row r="815" spans="1:16">
      <c r="A815" t="n" s="4">
        <v>810</v>
      </c>
      <c r="B815" s="2">
        <f>HYPERLINK("https://my.zakupki.prom.ua/remote/dispatcher/state_purchase_view/15955410", "UA-2020-03-25-001725-b")</f>
        <v/>
      </c>
      <c r="C815" t="s" s="2">
        <v>3245</v>
      </c>
      <c r="D815" s="2">
        <f>HYPERLINK("https://my.zakupki.prom.ua/remote/dispatcher/state_contracting_view/3999968", "UA-2020-03-25-001725-b-b1")</f>
        <v/>
      </c>
      <c r="E815" t="s" s="1">
        <v>1735</v>
      </c>
      <c r="F815" t="s" s="1">
        <v>765</v>
      </c>
      <c r="G815" t="s" s="1">
        <v>2364</v>
      </c>
      <c r="H815" t="s" s="1">
        <v>764</v>
      </c>
      <c r="I815" t="s" s="1">
        <v>2361</v>
      </c>
      <c r="J815" t="s" s="1">
        <v>3392</v>
      </c>
      <c r="K815" t="s" s="1">
        <v>428</v>
      </c>
      <c r="L815" t="s" s="1">
        <v>1767</v>
      </c>
      <c r="M815" t="n" s="5">
        <v>39000.0</v>
      </c>
      <c r="N815" t="n" s="7">
        <v>43913.0</v>
      </c>
      <c r="O815" t="n" s="7">
        <v>44196.0</v>
      </c>
      <c r="P815" t="s" s="1">
        <v>3499</v>
      </c>
    </row>
    <row r="816" spans="1:16">
      <c r="A816" t="n" s="4">
        <v>811</v>
      </c>
      <c r="B816" s="2">
        <f>HYPERLINK("https://my.zakupki.prom.ua/remote/dispatcher/state_purchase_view/16213621", "UA-2020-04-10-002547-b")</f>
        <v/>
      </c>
      <c r="C816" t="s" s="2">
        <v>3245</v>
      </c>
      <c r="D816" s="2">
        <f>HYPERLINK("https://my.zakupki.prom.ua/remote/dispatcher/state_contracting_view/4089640", "UA-2020-04-10-002547-b-b1")</f>
        <v/>
      </c>
      <c r="E816" t="s" s="1">
        <v>334</v>
      </c>
      <c r="F816" t="s" s="1">
        <v>2469</v>
      </c>
      <c r="G816" t="s" s="1">
        <v>2469</v>
      </c>
      <c r="H816" t="s" s="1">
        <v>718</v>
      </c>
      <c r="I816" t="s" s="1">
        <v>2361</v>
      </c>
      <c r="J816" t="s" s="1">
        <v>3392</v>
      </c>
      <c r="K816" t="s" s="1">
        <v>428</v>
      </c>
      <c r="L816" t="s" s="1">
        <v>138</v>
      </c>
      <c r="M816" t="n" s="5">
        <v>773.56</v>
      </c>
      <c r="N816" t="n" s="7">
        <v>43930.0</v>
      </c>
      <c r="O816" t="n" s="7">
        <v>44196.0</v>
      </c>
      <c r="P816" t="s" s="1">
        <v>3499</v>
      </c>
    </row>
    <row r="817" spans="1:16">
      <c r="A817" t="n" s="4">
        <v>812</v>
      </c>
      <c r="B817" s="2">
        <f>HYPERLINK("https://my.zakupki.prom.ua/remote/dispatcher/state_purchase_view/16006815", "UA-2020-03-27-002695-b")</f>
        <v/>
      </c>
      <c r="C817" t="s" s="2">
        <v>3245</v>
      </c>
      <c r="D817" s="2">
        <f>HYPERLINK("https://my.zakupki.prom.ua/remote/dispatcher/state_contracting_view/4017328", "UA-2020-03-27-002695-b-b1")</f>
        <v/>
      </c>
      <c r="E817" t="s" s="1">
        <v>26</v>
      </c>
      <c r="F817" t="s" s="1">
        <v>2335</v>
      </c>
      <c r="G817" t="s" s="1">
        <v>2335</v>
      </c>
      <c r="H817" t="s" s="1">
        <v>690</v>
      </c>
      <c r="I817" t="s" s="1">
        <v>2361</v>
      </c>
      <c r="J817" t="s" s="1">
        <v>3350</v>
      </c>
      <c r="K817" t="s" s="1">
        <v>452</v>
      </c>
      <c r="L817" t="s" s="1">
        <v>1847</v>
      </c>
      <c r="M817" t="n" s="5">
        <v>7750.0</v>
      </c>
      <c r="N817" t="n" s="7">
        <v>43917.0</v>
      </c>
      <c r="O817" t="n" s="7">
        <v>44196.0</v>
      </c>
      <c r="P817" t="s" s="1">
        <v>3499</v>
      </c>
    </row>
    <row r="818" spans="1:16">
      <c r="A818" t="n" s="4">
        <v>813</v>
      </c>
      <c r="B818" s="2">
        <f>HYPERLINK("https://my.zakupki.prom.ua/remote/dispatcher/state_purchase_view/15893475", "UA-2020-03-20-004767-b")</f>
        <v/>
      </c>
      <c r="C818" t="s" s="2">
        <v>3245</v>
      </c>
      <c r="D818" s="2">
        <f>HYPERLINK("https://my.zakupki.prom.ua/remote/dispatcher/state_contracting_view/3978993", "UA-2020-03-20-004767-b-b1")</f>
        <v/>
      </c>
      <c r="E818" t="s" s="1">
        <v>85</v>
      </c>
      <c r="F818" t="s" s="1">
        <v>3230</v>
      </c>
      <c r="G818" t="s" s="1">
        <v>3230</v>
      </c>
      <c r="H818" t="s" s="1">
        <v>735</v>
      </c>
      <c r="I818" t="s" s="1">
        <v>2361</v>
      </c>
      <c r="J818" t="s" s="1">
        <v>3417</v>
      </c>
      <c r="K818" t="s" s="1">
        <v>950</v>
      </c>
      <c r="L818" t="s" s="1">
        <v>3174</v>
      </c>
      <c r="M818" t="n" s="5">
        <v>892.0</v>
      </c>
      <c r="N818" t="n" s="7">
        <v>43910.0</v>
      </c>
      <c r="O818" t="n" s="7">
        <v>44196.0</v>
      </c>
      <c r="P818" t="s" s="1">
        <v>3499</v>
      </c>
    </row>
    <row r="819" spans="1:16">
      <c r="A819" t="n" s="4">
        <v>814</v>
      </c>
      <c r="B819" s="2">
        <f>HYPERLINK("https://my.zakupki.prom.ua/remote/dispatcher/state_purchase_view/16077709", "UA-2020-04-02-000646-b")</f>
        <v/>
      </c>
      <c r="C819" t="s" s="2">
        <v>3245</v>
      </c>
      <c r="D819" s="2">
        <f>HYPERLINK("https://my.zakupki.prom.ua/remote/dispatcher/state_contracting_view/4041996", "UA-2020-04-02-000646-b-b1")</f>
        <v/>
      </c>
      <c r="E819" t="s" s="1">
        <v>1952</v>
      </c>
      <c r="F819" t="s" s="1">
        <v>2325</v>
      </c>
      <c r="G819" t="s" s="1">
        <v>3355</v>
      </c>
      <c r="H819" t="s" s="1">
        <v>690</v>
      </c>
      <c r="I819" t="s" s="1">
        <v>2361</v>
      </c>
      <c r="J819" t="s" s="1">
        <v>3392</v>
      </c>
      <c r="K819" t="s" s="1">
        <v>428</v>
      </c>
      <c r="L819" t="s" s="1">
        <v>122</v>
      </c>
      <c r="M819" t="n" s="5">
        <v>1600.0</v>
      </c>
      <c r="N819" t="n" s="7">
        <v>43922.0</v>
      </c>
      <c r="O819" t="n" s="7">
        <v>44196.0</v>
      </c>
      <c r="P819" t="s" s="1">
        <v>3499</v>
      </c>
    </row>
    <row r="820" spans="1:16">
      <c r="A820" t="n" s="4">
        <v>815</v>
      </c>
      <c r="B820" s="2">
        <f>HYPERLINK("https://my.zakupki.prom.ua/remote/dispatcher/state_purchase_view/16358597", "UA-2020-04-16-008263-b")</f>
        <v/>
      </c>
      <c r="C820" t="s" s="2">
        <v>3245</v>
      </c>
      <c r="D820" s="2">
        <f>HYPERLINK("https://my.zakupki.prom.ua/remote/dispatcher/state_contracting_view/4141029", "UA-2020-04-16-008263-b-b1")</f>
        <v/>
      </c>
      <c r="E820" t="s" s="1">
        <v>320</v>
      </c>
      <c r="F820" t="s" s="1">
        <v>2332</v>
      </c>
      <c r="G820" t="s" s="1">
        <v>2332</v>
      </c>
      <c r="H820" t="s" s="1">
        <v>703</v>
      </c>
      <c r="I820" t="s" s="1">
        <v>2361</v>
      </c>
      <c r="J820" t="s" s="1">
        <v>3392</v>
      </c>
      <c r="K820" t="s" s="1">
        <v>428</v>
      </c>
      <c r="L820" t="s" s="1">
        <v>155</v>
      </c>
      <c r="M820" t="n" s="5">
        <v>1825.96</v>
      </c>
      <c r="N820" t="n" s="7">
        <v>43936.0</v>
      </c>
      <c r="O820" t="n" s="7">
        <v>44196.0</v>
      </c>
      <c r="P820" t="s" s="1">
        <v>3499</v>
      </c>
    </row>
    <row r="821" spans="1:16">
      <c r="A821" t="n" s="4">
        <v>816</v>
      </c>
      <c r="B821" s="2">
        <f>HYPERLINK("https://my.zakupki.prom.ua/remote/dispatcher/state_purchase_view/14471366", "UA-2020-01-14-000797-c")</f>
        <v/>
      </c>
      <c r="C821" t="s" s="2">
        <v>3245</v>
      </c>
      <c r="D821" s="2">
        <f>HYPERLINK("https://my.zakupki.prom.ua/remote/dispatcher/state_contracting_view/3627871", "UA-2020-01-14-000797-c-c1")</f>
        <v/>
      </c>
      <c r="E821" t="s" s="1">
        <v>410</v>
      </c>
      <c r="F821" t="s" s="1">
        <v>74</v>
      </c>
      <c r="G821" t="s" s="1">
        <v>2297</v>
      </c>
      <c r="H821" t="s" s="1">
        <v>74</v>
      </c>
      <c r="I821" t="s" s="1">
        <v>2361</v>
      </c>
      <c r="J821" t="s" s="1">
        <v>3381</v>
      </c>
      <c r="K821" t="s" s="1">
        <v>962</v>
      </c>
      <c r="L821" t="s" s="1">
        <v>2306</v>
      </c>
      <c r="M821" t="n" s="5">
        <v>2829.0</v>
      </c>
      <c r="N821" t="n" s="7">
        <v>43844.0</v>
      </c>
      <c r="O821" t="n" s="7">
        <v>44196.0</v>
      </c>
      <c r="P821" t="s" s="1">
        <v>3499</v>
      </c>
    </row>
    <row r="822" spans="1:16">
      <c r="A822" t="n" s="4">
        <v>817</v>
      </c>
      <c r="B822" s="2">
        <f>HYPERLINK("https://my.zakupki.prom.ua/remote/dispatcher/state_purchase_view/16491923", "UA-2020-04-28-001472-b")</f>
        <v/>
      </c>
      <c r="C822" t="s" s="2">
        <v>3245</v>
      </c>
      <c r="D822" s="2">
        <f>HYPERLINK("https://my.zakupki.prom.ua/remote/dispatcher/state_contracting_view/4197888", "UA-2020-04-28-001472-b-b1")</f>
        <v/>
      </c>
      <c r="E822" t="s" s="1">
        <v>778</v>
      </c>
      <c r="F822" t="s" s="1">
        <v>591</v>
      </c>
      <c r="G822" t="s" s="1">
        <v>2383</v>
      </c>
      <c r="H822" t="s" s="1">
        <v>592</v>
      </c>
      <c r="I822" t="s" s="1">
        <v>2361</v>
      </c>
      <c r="J822" t="s" s="1">
        <v>3384</v>
      </c>
      <c r="K822" t="s" s="1">
        <v>930</v>
      </c>
      <c r="L822" t="s" s="1">
        <v>177</v>
      </c>
      <c r="M822" t="n" s="5">
        <v>810.0</v>
      </c>
      <c r="N822" t="n" s="7">
        <v>43949.0</v>
      </c>
      <c r="O822" t="n" s="7">
        <v>44196.0</v>
      </c>
      <c r="P822" t="s" s="1">
        <v>3499</v>
      </c>
    </row>
    <row r="823" spans="1:16">
      <c r="A823" t="n" s="4">
        <v>818</v>
      </c>
      <c r="B823" s="2">
        <f>HYPERLINK("https://my.zakupki.prom.ua/remote/dispatcher/state_purchase_view/18785339", "UA-2020-08-26-002336-a")</f>
        <v/>
      </c>
      <c r="C823" t="s" s="2">
        <v>3245</v>
      </c>
      <c r="D823" s="2">
        <f>HYPERLINK("https://my.zakupki.prom.ua/remote/dispatcher/state_contracting_view/5254668", "UA-2020-08-26-002336-a-a1")</f>
        <v/>
      </c>
      <c r="E823" t="s" s="1">
        <v>1584</v>
      </c>
      <c r="F823" t="s" s="1">
        <v>2626</v>
      </c>
      <c r="G823" t="s" s="1">
        <v>2626</v>
      </c>
      <c r="H823" t="s" s="1">
        <v>225</v>
      </c>
      <c r="I823" t="s" s="1">
        <v>2361</v>
      </c>
      <c r="J823" t="s" s="1">
        <v>3467</v>
      </c>
      <c r="K823" t="s" s="1">
        <v>766</v>
      </c>
      <c r="L823" t="s" s="1">
        <v>1173</v>
      </c>
      <c r="M823" t="n" s="5">
        <v>875.5</v>
      </c>
      <c r="N823" t="n" s="7">
        <v>44068.0</v>
      </c>
      <c r="O823" t="n" s="7">
        <v>44196.0</v>
      </c>
      <c r="P823" t="s" s="1">
        <v>3499</v>
      </c>
    </row>
    <row r="824" spans="1:16">
      <c r="A824" t="n" s="4">
        <v>819</v>
      </c>
      <c r="B824" s="2">
        <f>HYPERLINK("https://my.zakupki.prom.ua/remote/dispatcher/state_purchase_view/18787327", "UA-2020-08-26-002852-a")</f>
        <v/>
      </c>
      <c r="C824" t="s" s="2">
        <v>3245</v>
      </c>
      <c r="D824" s="2">
        <f>HYPERLINK("https://my.zakupki.prom.ua/remote/dispatcher/state_contracting_view/5255435", "UA-2020-08-26-002852-a-a1")</f>
        <v/>
      </c>
      <c r="E824" t="s" s="1">
        <v>2166</v>
      </c>
      <c r="F824" t="s" s="1">
        <v>2517</v>
      </c>
      <c r="G824" t="s" s="1">
        <v>2517</v>
      </c>
      <c r="H824" t="s" s="1">
        <v>39</v>
      </c>
      <c r="I824" t="s" s="1">
        <v>2361</v>
      </c>
      <c r="J824" t="s" s="1">
        <v>3467</v>
      </c>
      <c r="K824" t="s" s="1">
        <v>766</v>
      </c>
      <c r="L824" t="s" s="1">
        <v>1175</v>
      </c>
      <c r="M824" t="n" s="5">
        <v>7294.0</v>
      </c>
      <c r="N824" t="n" s="7">
        <v>44068.0</v>
      </c>
      <c r="O824" t="n" s="7">
        <v>44196.0</v>
      </c>
      <c r="P824" t="s" s="1">
        <v>3499</v>
      </c>
    </row>
    <row r="825" spans="1:16">
      <c r="A825" t="n" s="4">
        <v>820</v>
      </c>
      <c r="B825" s="2">
        <f>HYPERLINK("https://my.zakupki.prom.ua/remote/dispatcher/state_purchase_view/18738456", "UA-2020-08-21-007928-a")</f>
        <v/>
      </c>
      <c r="C825" t="s" s="2">
        <v>3245</v>
      </c>
      <c r="D825" s="2">
        <f>HYPERLINK("https://my.zakupki.prom.ua/remote/dispatcher/state_contracting_view/5268048", "UA-2020-08-21-007928-a-a1")</f>
        <v/>
      </c>
      <c r="E825" t="s" s="1">
        <v>1475</v>
      </c>
      <c r="F825" t="s" s="1">
        <v>2933</v>
      </c>
      <c r="G825" t="s" s="1">
        <v>2932</v>
      </c>
      <c r="H825" t="s" s="1">
        <v>724</v>
      </c>
      <c r="I825" t="s" s="1">
        <v>3313</v>
      </c>
      <c r="J825" t="s" s="1">
        <v>3409</v>
      </c>
      <c r="K825" t="s" s="1">
        <v>823</v>
      </c>
      <c r="L825" t="s" s="1">
        <v>383</v>
      </c>
      <c r="M825" t="n" s="5">
        <v>14347.63</v>
      </c>
      <c r="N825" t="n" s="7">
        <v>44070.0</v>
      </c>
      <c r="O825" t="n" s="7">
        <v>44196.0</v>
      </c>
      <c r="P825" t="s" s="1">
        <v>3499</v>
      </c>
    </row>
    <row r="826" spans="1:16">
      <c r="A826" t="n" s="4">
        <v>821</v>
      </c>
      <c r="B826" s="2">
        <f>HYPERLINK("https://my.zakupki.prom.ua/remote/dispatcher/state_purchase_view/18094452", "UA-2020-07-24-001617-b")</f>
        <v/>
      </c>
      <c r="C826" t="s" s="2">
        <v>3245</v>
      </c>
      <c r="D826" s="2">
        <f>HYPERLINK("https://my.zakupki.prom.ua/remote/dispatcher/state_contracting_view/4930444", "UA-2020-07-24-001617-b-b1")</f>
        <v/>
      </c>
      <c r="E826" t="s" s="1">
        <v>1107</v>
      </c>
      <c r="F826" t="s" s="1">
        <v>3120</v>
      </c>
      <c r="G826" t="s" s="1">
        <v>3119</v>
      </c>
      <c r="H826" t="s" s="1">
        <v>1493</v>
      </c>
      <c r="I826" t="s" s="1">
        <v>2361</v>
      </c>
      <c r="J826" t="s" s="1">
        <v>3391</v>
      </c>
      <c r="K826" t="s" s="1">
        <v>835</v>
      </c>
      <c r="L826" t="s" s="1">
        <v>807</v>
      </c>
      <c r="M826" t="n" s="5">
        <v>6000.0</v>
      </c>
      <c r="N826" t="n" s="7">
        <v>44035.0</v>
      </c>
      <c r="O826" t="n" s="7">
        <v>44196.0</v>
      </c>
      <c r="P826" t="s" s="1">
        <v>3499</v>
      </c>
    </row>
    <row r="827" spans="1:16">
      <c r="A827" t="n" s="4">
        <v>822</v>
      </c>
      <c r="B827" s="2">
        <f>HYPERLINK("https://my.zakupki.prom.ua/remote/dispatcher/state_purchase_view/18121483", "UA-2020-07-27-000264-b")</f>
        <v/>
      </c>
      <c r="C827" t="s" s="2">
        <v>3245</v>
      </c>
      <c r="D827" s="2">
        <f>HYPERLINK("https://my.zakupki.prom.ua/remote/dispatcher/state_contracting_view/4942948", "UA-2020-07-27-000264-b-b1")</f>
        <v/>
      </c>
      <c r="E827" t="s" s="1">
        <v>1928</v>
      </c>
      <c r="F827" t="s" s="1">
        <v>2740</v>
      </c>
      <c r="G827" t="s" s="1">
        <v>2740</v>
      </c>
      <c r="H827" t="s" s="1">
        <v>690</v>
      </c>
      <c r="I827" t="s" s="1">
        <v>2361</v>
      </c>
      <c r="J827" t="s" s="1">
        <v>3392</v>
      </c>
      <c r="K827" t="s" s="1">
        <v>428</v>
      </c>
      <c r="L827" t="s" s="1">
        <v>813</v>
      </c>
      <c r="M827" t="n" s="5">
        <v>211.6</v>
      </c>
      <c r="N827" t="n" s="7">
        <v>44035.0</v>
      </c>
      <c r="O827" t="n" s="7">
        <v>44196.0</v>
      </c>
      <c r="P827" t="s" s="1">
        <v>3499</v>
      </c>
    </row>
    <row r="828" spans="1:16">
      <c r="A828" t="n" s="4">
        <v>823</v>
      </c>
      <c r="B828" s="2">
        <f>HYPERLINK("https://my.zakupki.prom.ua/remote/dispatcher/state_purchase_view/18486564", "UA-2020-08-12-003620-a")</f>
        <v/>
      </c>
      <c r="C828" t="s" s="2">
        <v>3245</v>
      </c>
      <c r="D828" s="2">
        <f>HYPERLINK("https://my.zakupki.prom.ua/remote/dispatcher/state_contracting_view/5112481", "UA-2020-08-12-003620-a-a1")</f>
        <v/>
      </c>
      <c r="E828" t="s" s="1">
        <v>1998</v>
      </c>
      <c r="F828" t="s" s="1">
        <v>2957</v>
      </c>
      <c r="G828" t="s" s="1">
        <v>2957</v>
      </c>
      <c r="H828" t="s" s="1">
        <v>734</v>
      </c>
      <c r="I828" t="s" s="1">
        <v>2361</v>
      </c>
      <c r="J828" t="s" s="1">
        <v>3418</v>
      </c>
      <c r="K828" t="s" s="1">
        <v>949</v>
      </c>
      <c r="L828" t="s" s="1">
        <v>3170</v>
      </c>
      <c r="M828" t="n" s="5">
        <v>1584.0</v>
      </c>
      <c r="N828" t="n" s="7">
        <v>44055.0</v>
      </c>
      <c r="O828" t="n" s="7">
        <v>44196.0</v>
      </c>
      <c r="P828" t="s" s="1">
        <v>3499</v>
      </c>
    </row>
    <row r="829" spans="1:16">
      <c r="A829" t="n" s="4">
        <v>824</v>
      </c>
      <c r="B829" s="2">
        <f>HYPERLINK("https://my.zakupki.prom.ua/remote/dispatcher/state_purchase_view/19020866", "UA-2020-09-04-007084-b")</f>
        <v/>
      </c>
      <c r="C829" t="s" s="2">
        <v>3245</v>
      </c>
      <c r="D829" s="2">
        <f>HYPERLINK("https://my.zakupki.prom.ua/remote/dispatcher/state_contracting_view/5368381", "UA-2020-09-04-007084-b-b1")</f>
        <v/>
      </c>
      <c r="E829" t="s" s="1">
        <v>1656</v>
      </c>
      <c r="F829" t="s" s="1">
        <v>3041</v>
      </c>
      <c r="G829" t="s" s="1">
        <v>3041</v>
      </c>
      <c r="H829" t="s" s="1">
        <v>959</v>
      </c>
      <c r="I829" t="s" s="1">
        <v>2361</v>
      </c>
      <c r="J829" t="s" s="1">
        <v>3253</v>
      </c>
      <c r="K829" t="s" s="1">
        <v>403</v>
      </c>
      <c r="L829" t="s" s="1">
        <v>1234</v>
      </c>
      <c r="M829" t="n" s="5">
        <v>6248.0</v>
      </c>
      <c r="N829" t="n" s="7">
        <v>44078.0</v>
      </c>
      <c r="O829" t="n" s="7">
        <v>44196.0</v>
      </c>
      <c r="P829" t="s" s="1">
        <v>3499</v>
      </c>
    </row>
    <row r="830" spans="1:16">
      <c r="A830" t="n" s="4">
        <v>825</v>
      </c>
      <c r="B830" s="2">
        <f>HYPERLINK("https://my.zakupki.prom.ua/remote/dispatcher/state_purchase_view/18847566", "UA-2020-08-28-000704-c")</f>
        <v/>
      </c>
      <c r="C830" t="s" s="2">
        <v>3245</v>
      </c>
      <c r="D830" s="2">
        <f>HYPERLINK("https://my.zakupki.prom.ua/remote/dispatcher/state_contracting_view/5284971", "UA-2020-08-28-000704-c-c1")</f>
        <v/>
      </c>
      <c r="E830" t="s" s="1">
        <v>1983</v>
      </c>
      <c r="F830" t="s" s="1">
        <v>2881</v>
      </c>
      <c r="G830" t="s" s="1">
        <v>2880</v>
      </c>
      <c r="H830" t="s" s="1">
        <v>718</v>
      </c>
      <c r="I830" t="s" s="1">
        <v>2361</v>
      </c>
      <c r="J830" t="s" s="1">
        <v>3392</v>
      </c>
      <c r="K830" t="s" s="1">
        <v>428</v>
      </c>
      <c r="L830" t="s" s="1">
        <v>1191</v>
      </c>
      <c r="M830" t="n" s="5">
        <v>216.71</v>
      </c>
      <c r="N830" t="n" s="7">
        <v>44070.0</v>
      </c>
      <c r="O830" t="n" s="7">
        <v>44196.0</v>
      </c>
      <c r="P830" t="s" s="1">
        <v>3499</v>
      </c>
    </row>
    <row r="831" spans="1:16">
      <c r="A831" t="n" s="4">
        <v>826</v>
      </c>
      <c r="B831" s="2">
        <f>HYPERLINK("https://my.zakupki.prom.ua/remote/dispatcher/state_purchase_view/18455252", "UA-2020-08-11-004046-a")</f>
        <v/>
      </c>
      <c r="C831" t="s" s="2">
        <v>3245</v>
      </c>
      <c r="D831" s="2">
        <f>HYPERLINK("https://my.zakupki.prom.ua/remote/dispatcher/state_contracting_view/5153625", "UA-2020-08-11-004046-a-a1")</f>
        <v/>
      </c>
      <c r="E831" t="s" s="1">
        <v>1981</v>
      </c>
      <c r="F831" t="s" s="1">
        <v>2388</v>
      </c>
      <c r="G831" t="s" s="1">
        <v>2388</v>
      </c>
      <c r="H831" t="s" s="1">
        <v>690</v>
      </c>
      <c r="I831" t="s" s="1">
        <v>3313</v>
      </c>
      <c r="J831" t="s" s="1">
        <v>3392</v>
      </c>
      <c r="K831" t="s" s="1">
        <v>428</v>
      </c>
      <c r="L831" t="s" s="1">
        <v>1085</v>
      </c>
      <c r="M831" t="n" s="5">
        <v>5001.63</v>
      </c>
      <c r="N831" t="n" s="7">
        <v>44060.0</v>
      </c>
      <c r="O831" t="n" s="7">
        <v>44196.0</v>
      </c>
      <c r="P831" t="s" s="1">
        <v>3499</v>
      </c>
    </row>
    <row r="832" spans="1:16">
      <c r="A832" t="n" s="4">
        <v>827</v>
      </c>
      <c r="B832" s="2">
        <f>HYPERLINK("https://my.zakupki.prom.ua/remote/dispatcher/state_purchase_view/18649258", "UA-2020-08-19-002192-a")</f>
        <v/>
      </c>
      <c r="C832" t="s" s="2">
        <v>3245</v>
      </c>
      <c r="D832" s="2">
        <f>HYPERLINK("https://my.zakupki.prom.ua/remote/dispatcher/state_contracting_view/5188689", "UA-2020-08-19-002192-a-a1")</f>
        <v/>
      </c>
      <c r="E832" t="s" s="1">
        <v>1906</v>
      </c>
      <c r="F832" t="s" s="1">
        <v>2516</v>
      </c>
      <c r="G832" t="s" s="1">
        <v>2516</v>
      </c>
      <c r="H832" t="s" s="1">
        <v>39</v>
      </c>
      <c r="I832" t="s" s="1">
        <v>2361</v>
      </c>
      <c r="J832" t="s" s="1">
        <v>3467</v>
      </c>
      <c r="K832" t="s" s="1">
        <v>766</v>
      </c>
      <c r="L832" t="s" s="1">
        <v>1152</v>
      </c>
      <c r="M832" t="n" s="5">
        <v>8424.8</v>
      </c>
      <c r="N832" t="n" s="7">
        <v>44060.0</v>
      </c>
      <c r="O832" t="n" s="7">
        <v>44196.0</v>
      </c>
      <c r="P832" t="s" s="1">
        <v>3499</v>
      </c>
    </row>
    <row r="833" spans="1:16">
      <c r="A833" t="n" s="4">
        <v>828</v>
      </c>
      <c r="B833" s="2">
        <f>HYPERLINK("https://my.zakupki.prom.ua/remote/dispatcher/state_purchase_view/16407644", "UA-2020-04-17-009241-b")</f>
        <v/>
      </c>
      <c r="C833" t="s" s="2">
        <v>3245</v>
      </c>
      <c r="D833" s="2">
        <f>HYPERLINK("https://my.zakupki.prom.ua/remote/dispatcher/state_contracting_view/4159270", "UA-2020-04-17-009241-b-b1")</f>
        <v/>
      </c>
      <c r="E833" t="s" s="1">
        <v>903</v>
      </c>
      <c r="F833" t="s" s="1">
        <v>666</v>
      </c>
      <c r="G833" t="s" s="1">
        <v>666</v>
      </c>
      <c r="H833" t="s" s="1">
        <v>666</v>
      </c>
      <c r="I833" t="s" s="1">
        <v>2361</v>
      </c>
      <c r="J833" t="s" s="1">
        <v>2292</v>
      </c>
      <c r="K833" t="s" s="1">
        <v>545</v>
      </c>
      <c r="L833" t="s" s="1">
        <v>167</v>
      </c>
      <c r="M833" t="n" s="5">
        <v>2750.0</v>
      </c>
      <c r="N833" t="n" s="7">
        <v>43938.0</v>
      </c>
      <c r="O833" t="n" s="7">
        <v>44196.0</v>
      </c>
      <c r="P833" t="s" s="1">
        <v>3499</v>
      </c>
    </row>
    <row r="834" spans="1:16">
      <c r="A834" t="n" s="4">
        <v>829</v>
      </c>
      <c r="B834" s="2">
        <f>HYPERLINK("https://my.zakupki.prom.ua/remote/dispatcher/state_purchase_view/17091724", "UA-2020-06-05-006270-b")</f>
        <v/>
      </c>
      <c r="C834" t="s" s="2">
        <v>3245</v>
      </c>
      <c r="D834" s="2">
        <f>HYPERLINK("https://my.zakupki.prom.ua/remote/dispatcher/state_contracting_view/4464755", "UA-2020-06-05-006270-b-b1")</f>
        <v/>
      </c>
      <c r="E834" t="s" s="1">
        <v>1291</v>
      </c>
      <c r="F834" t="s" s="1">
        <v>2448</v>
      </c>
      <c r="G834" t="s" s="1">
        <v>2349</v>
      </c>
      <c r="H834" t="s" s="1">
        <v>703</v>
      </c>
      <c r="I834" t="s" s="1">
        <v>2361</v>
      </c>
      <c r="J834" t="s" s="1">
        <v>3417</v>
      </c>
      <c r="K834" t="s" s="1">
        <v>950</v>
      </c>
      <c r="L834" t="s" s="1">
        <v>3181</v>
      </c>
      <c r="M834" t="n" s="5">
        <v>22275.0</v>
      </c>
      <c r="N834" t="n" s="7">
        <v>43987.0</v>
      </c>
      <c r="O834" t="n" s="7">
        <v>44196.0</v>
      </c>
      <c r="P834" t="s" s="1">
        <v>3499</v>
      </c>
    </row>
    <row r="835" spans="1:16">
      <c r="A835" t="n" s="4">
        <v>830</v>
      </c>
      <c r="B835" s="2">
        <f>HYPERLINK("https://my.zakupki.prom.ua/remote/dispatcher/state_purchase_view/16597049", "UA-2020-05-08-000500-b")</f>
        <v/>
      </c>
      <c r="C835" t="s" s="2">
        <v>3245</v>
      </c>
      <c r="D835" s="2">
        <f>HYPERLINK("https://my.zakupki.prom.ua/remote/dispatcher/state_contracting_view/4243762", "UA-2020-05-08-000500-b-b1")</f>
        <v/>
      </c>
      <c r="E835" t="s" s="1">
        <v>2051</v>
      </c>
      <c r="F835" t="s" s="1">
        <v>2324</v>
      </c>
      <c r="G835" t="s" s="1">
        <v>3317</v>
      </c>
      <c r="H835" t="s" s="1">
        <v>1382</v>
      </c>
      <c r="I835" t="s" s="1">
        <v>2361</v>
      </c>
      <c r="J835" t="s" s="1">
        <v>3296</v>
      </c>
      <c r="K835" t="s" s="1">
        <v>8</v>
      </c>
      <c r="L835" t="s" s="1">
        <v>193</v>
      </c>
      <c r="M835" t="n" s="5">
        <v>3000.0</v>
      </c>
      <c r="N835" t="n" s="7">
        <v>43959.0</v>
      </c>
      <c r="O835" t="n" s="7">
        <v>44196.0</v>
      </c>
      <c r="P835" t="s" s="1">
        <v>3499</v>
      </c>
    </row>
    <row r="836" spans="1:16">
      <c r="A836" t="n" s="4">
        <v>831</v>
      </c>
      <c r="B836" s="2">
        <f>HYPERLINK("https://my.zakupki.prom.ua/remote/dispatcher/state_purchase_view/19244586", "UA-2020-09-14-004227-b")</f>
        <v/>
      </c>
      <c r="C836" t="s" s="2">
        <v>3245</v>
      </c>
      <c r="D836" s="2">
        <f>HYPERLINK("https://my.zakupki.prom.ua/remote/dispatcher/state_contracting_view/5472056", "UA-2020-09-14-004227-b-b1")</f>
        <v/>
      </c>
      <c r="E836" t="s" s="1">
        <v>1786</v>
      </c>
      <c r="F836" t="s" s="1">
        <v>2764</v>
      </c>
      <c r="G836" t="s" s="1">
        <v>2764</v>
      </c>
      <c r="H836" t="s" s="1">
        <v>690</v>
      </c>
      <c r="I836" t="s" s="1">
        <v>2361</v>
      </c>
      <c r="J836" t="s" s="1">
        <v>3377</v>
      </c>
      <c r="K836" t="s" s="1">
        <v>722</v>
      </c>
      <c r="L836" t="s" s="1">
        <v>409</v>
      </c>
      <c r="M836" t="n" s="5">
        <v>166000.0</v>
      </c>
      <c r="N836" t="n" s="7">
        <v>44088.0</v>
      </c>
      <c r="O836" t="n" s="7">
        <v>44196.0</v>
      </c>
      <c r="P836" t="s" s="1">
        <v>3499</v>
      </c>
    </row>
    <row r="837" spans="1:16">
      <c r="A837" t="n" s="4">
        <v>832</v>
      </c>
      <c r="B837" s="2">
        <f>HYPERLINK("https://my.zakupki.prom.ua/remote/dispatcher/state_purchase_view/19772205", "UA-2020-10-02-001575-a")</f>
        <v/>
      </c>
      <c r="C837" t="s" s="2">
        <v>3245</v>
      </c>
      <c r="D837" s="2">
        <f>HYPERLINK("https://my.zakupki.prom.ua/remote/dispatcher/state_contracting_view/5792413", "UA-2020-10-02-001575-a-a1")</f>
        <v/>
      </c>
      <c r="E837" t="s" s="1">
        <v>228</v>
      </c>
      <c r="F837" t="s" s="1">
        <v>3109</v>
      </c>
      <c r="G837" t="s" s="1">
        <v>3109</v>
      </c>
      <c r="H837" t="s" s="1">
        <v>1311</v>
      </c>
      <c r="I837" t="s" s="1">
        <v>3313</v>
      </c>
      <c r="J837" t="s" s="1">
        <v>3388</v>
      </c>
      <c r="K837" t="s" s="1">
        <v>632</v>
      </c>
      <c r="L837" t="s" s="1">
        <v>1437</v>
      </c>
      <c r="M837" t="n" s="5">
        <v>57330.0</v>
      </c>
      <c r="N837" t="n" s="7">
        <v>44112.0</v>
      </c>
      <c r="O837" t="n" s="7">
        <v>44196.0</v>
      </c>
      <c r="P837" t="s" s="1">
        <v>3499</v>
      </c>
    </row>
    <row r="838" spans="1:16">
      <c r="A838" t="n" s="4">
        <v>833</v>
      </c>
      <c r="B838" s="2">
        <f>HYPERLINK("https://my.zakupki.prom.ua/remote/dispatcher/state_purchase_view/19938108", "UA-2020-10-08-003789-a")</f>
        <v/>
      </c>
      <c r="C838" t="s" s="2">
        <v>3245</v>
      </c>
      <c r="D838" s="2">
        <f>HYPERLINK("https://my.zakupki.prom.ua/remote/dispatcher/state_contracting_view/5798693", "UA-2020-10-08-003789-a-a1")</f>
        <v/>
      </c>
      <c r="E838" t="s" s="1">
        <v>2167</v>
      </c>
      <c r="F838" t="s" s="1">
        <v>3014</v>
      </c>
      <c r="G838" t="s" s="1">
        <v>3014</v>
      </c>
      <c r="H838" t="s" s="1">
        <v>857</v>
      </c>
      <c r="I838" t="s" s="1">
        <v>2361</v>
      </c>
      <c r="J838" t="s" s="1">
        <v>3388</v>
      </c>
      <c r="K838" t="s" s="1">
        <v>632</v>
      </c>
      <c r="L838" t="s" s="1">
        <v>912</v>
      </c>
      <c r="M838" t="n" s="5">
        <v>750.0</v>
      </c>
      <c r="N838" t="n" s="7">
        <v>44112.0</v>
      </c>
      <c r="O838" t="n" s="7">
        <v>44196.0</v>
      </c>
      <c r="P838" t="s" s="1">
        <v>3499</v>
      </c>
    </row>
    <row r="839" spans="1:16">
      <c r="A839" t="n" s="4">
        <v>834</v>
      </c>
      <c r="B839" s="2">
        <f>HYPERLINK("https://my.zakupki.prom.ua/remote/dispatcher/state_purchase_view/19659081", "UA-2020-09-28-006775-a")</f>
        <v/>
      </c>
      <c r="C839" t="s" s="2">
        <v>3245</v>
      </c>
      <c r="D839" s="2">
        <f>HYPERLINK("https://my.zakupki.prom.ua/remote/dispatcher/state_contracting_view/5668732", "UA-2020-09-28-006775-a-a1")</f>
        <v/>
      </c>
      <c r="E839" t="s" s="1">
        <v>1902</v>
      </c>
      <c r="F839" t="s" s="1">
        <v>2869</v>
      </c>
      <c r="G839" t="s" s="1">
        <v>2869</v>
      </c>
      <c r="H839" t="s" s="1">
        <v>718</v>
      </c>
      <c r="I839" t="s" s="1">
        <v>2361</v>
      </c>
      <c r="J839" t="s" s="1">
        <v>3382</v>
      </c>
      <c r="K839" t="s" s="1">
        <v>955</v>
      </c>
      <c r="L839" t="s" s="1">
        <v>1397</v>
      </c>
      <c r="M839" t="n" s="5">
        <v>75000.0</v>
      </c>
      <c r="N839" t="n" s="7">
        <v>44102.0</v>
      </c>
      <c r="O839" t="n" s="7">
        <v>44196.0</v>
      </c>
      <c r="P839" t="s" s="1">
        <v>3499</v>
      </c>
    </row>
    <row r="840" spans="1:16">
      <c r="A840" t="n" s="4">
        <v>835</v>
      </c>
      <c r="B840" s="2">
        <f>HYPERLINK("https://my.zakupki.prom.ua/remote/dispatcher/state_purchase_view/19869116", "UA-2020-10-06-007936-a")</f>
        <v/>
      </c>
      <c r="C840" t="s" s="2">
        <v>3245</v>
      </c>
      <c r="D840" s="2">
        <f>HYPERLINK("https://my.zakupki.prom.ua/remote/dispatcher/state_contracting_view/5766535", "UA-2020-10-06-007936-a-a1")</f>
        <v/>
      </c>
      <c r="E840" t="s" s="1">
        <v>30</v>
      </c>
      <c r="F840" t="s" s="1">
        <v>2804</v>
      </c>
      <c r="G840" t="s" s="1">
        <v>2804</v>
      </c>
      <c r="H840" t="s" s="1">
        <v>690</v>
      </c>
      <c r="I840" t="s" s="1">
        <v>2361</v>
      </c>
      <c r="J840" t="s" s="1">
        <v>3402</v>
      </c>
      <c r="K840" t="s" s="1">
        <v>375</v>
      </c>
      <c r="L840" t="s" s="1">
        <v>544</v>
      </c>
      <c r="M840" t="n" s="5">
        <v>4000.0</v>
      </c>
      <c r="N840" t="n" s="7">
        <v>44109.0</v>
      </c>
      <c r="O840" t="n" s="7">
        <v>44196.0</v>
      </c>
      <c r="P840" t="s" s="1">
        <v>3499</v>
      </c>
    </row>
    <row r="841" spans="1:16">
      <c r="A841" t="n" s="4">
        <v>836</v>
      </c>
      <c r="B841" s="2">
        <f>HYPERLINK("https://my.zakupki.prom.ua/remote/dispatcher/state_purchase_view/20209743", "UA-2020-10-19-004265-c")</f>
        <v/>
      </c>
      <c r="C841" t="s" s="2">
        <v>3245</v>
      </c>
      <c r="D841" s="2">
        <f>HYPERLINK("https://my.zakupki.prom.ua/remote/dispatcher/state_contracting_view/5927487", "UA-2020-10-19-004265-c-c1")</f>
        <v/>
      </c>
      <c r="E841" t="s" s="1">
        <v>2204</v>
      </c>
      <c r="F841" t="s" s="1">
        <v>2994</v>
      </c>
      <c r="G841" t="s" s="1">
        <v>2994</v>
      </c>
      <c r="H841" t="s" s="1">
        <v>848</v>
      </c>
      <c r="I841" t="s" s="1">
        <v>2361</v>
      </c>
      <c r="J841" t="s" s="1">
        <v>3467</v>
      </c>
      <c r="K841" t="s" s="1">
        <v>766</v>
      </c>
      <c r="L841" t="s" s="1">
        <v>1546</v>
      </c>
      <c r="M841" t="n" s="5">
        <v>2420.0</v>
      </c>
      <c r="N841" t="n" s="7">
        <v>44120.0</v>
      </c>
      <c r="O841" t="n" s="7">
        <v>44196.0</v>
      </c>
      <c r="P841" t="s" s="1">
        <v>3499</v>
      </c>
    </row>
    <row r="842" spans="1:16">
      <c r="A842" t="n" s="4">
        <v>837</v>
      </c>
      <c r="B842" s="2">
        <f>HYPERLINK("https://my.zakupki.prom.ua/remote/dispatcher/state_purchase_view/20018931", "UA-2020-10-12-002532-b")</f>
        <v/>
      </c>
      <c r="C842" t="s" s="2">
        <v>3245</v>
      </c>
      <c r="D842" s="2">
        <f>HYPERLINK("https://my.zakupki.prom.ua/remote/dispatcher/state_contracting_view/5836286", "UA-2020-10-12-002532-b-b1")</f>
        <v/>
      </c>
      <c r="E842" t="s" s="1">
        <v>1994</v>
      </c>
      <c r="F842" t="s" s="1">
        <v>2729</v>
      </c>
      <c r="G842" t="s" s="1">
        <v>2729</v>
      </c>
      <c r="H842" t="s" s="1">
        <v>673</v>
      </c>
      <c r="I842" t="s" s="1">
        <v>2361</v>
      </c>
      <c r="J842" t="s" s="1">
        <v>2316</v>
      </c>
      <c r="K842" t="s" s="1">
        <v>768</v>
      </c>
      <c r="L842" t="s" s="1">
        <v>1504</v>
      </c>
      <c r="M842" t="n" s="5">
        <v>650.0</v>
      </c>
      <c r="N842" t="n" s="7">
        <v>44116.0</v>
      </c>
      <c r="O842" t="n" s="7">
        <v>44196.0</v>
      </c>
      <c r="P842" t="s" s="1">
        <v>3499</v>
      </c>
    </row>
    <row r="843" spans="1:16">
      <c r="A843" t="n" s="4">
        <v>838</v>
      </c>
      <c r="B843" s="2">
        <f>HYPERLINK("https://my.zakupki.prom.ua/remote/dispatcher/state_purchase_view/19831967", "UA-2020-10-05-008120-a")</f>
        <v/>
      </c>
      <c r="C843" t="s" s="2">
        <v>3245</v>
      </c>
      <c r="D843" s="2">
        <f>HYPERLINK("https://my.zakupki.prom.ua/remote/dispatcher/state_contracting_view/5750721", "UA-2020-10-05-008120-a-a1")</f>
        <v/>
      </c>
      <c r="E843" t="s" s="1">
        <v>246</v>
      </c>
      <c r="F843" t="s" s="1">
        <v>2794</v>
      </c>
      <c r="G843" t="s" s="1">
        <v>3540</v>
      </c>
      <c r="H843" t="s" s="1">
        <v>690</v>
      </c>
      <c r="I843" t="s" s="1">
        <v>2361</v>
      </c>
      <c r="J843" t="s" s="1">
        <v>3392</v>
      </c>
      <c r="K843" t="s" s="1">
        <v>428</v>
      </c>
      <c r="L843" t="s" s="1">
        <v>1426</v>
      </c>
      <c r="M843" t="n" s="5">
        <v>1843.6</v>
      </c>
      <c r="N843" t="n" s="7">
        <v>44109.0</v>
      </c>
      <c r="O843" t="n" s="7">
        <v>44196.0</v>
      </c>
      <c r="P843" t="s" s="1">
        <v>3499</v>
      </c>
    </row>
    <row r="844" spans="1:16">
      <c r="A844" t="n" s="4">
        <v>839</v>
      </c>
      <c r="B844" s="2">
        <f>HYPERLINK("https://my.zakupki.prom.ua/remote/dispatcher/state_purchase_view/17452751", "UA-2020-06-23-009245-a")</f>
        <v/>
      </c>
      <c r="C844" t="s" s="2">
        <v>3245</v>
      </c>
      <c r="D844" s="2">
        <f>HYPERLINK("https://my.zakupki.prom.ua/remote/dispatcher/state_contracting_view/4630913", "UA-2020-06-23-009245-a-a1")</f>
        <v/>
      </c>
      <c r="E844" t="s" s="1">
        <v>646</v>
      </c>
      <c r="F844" t="s" s="1">
        <v>2486</v>
      </c>
      <c r="G844" t="s" s="1">
        <v>2486</v>
      </c>
      <c r="H844" t="s" s="1">
        <v>1307</v>
      </c>
      <c r="I844" t="s" s="1">
        <v>2361</v>
      </c>
      <c r="J844" t="s" s="1">
        <v>2286</v>
      </c>
      <c r="K844" t="s" s="1">
        <v>54</v>
      </c>
      <c r="L844" t="s" s="1">
        <v>259</v>
      </c>
      <c r="M844" t="n" s="5">
        <v>19200.0</v>
      </c>
      <c r="N844" t="n" s="7">
        <v>44005.0</v>
      </c>
      <c r="O844" t="n" s="7">
        <v>44196.0</v>
      </c>
      <c r="P844" t="s" s="1">
        <v>3499</v>
      </c>
    </row>
    <row r="845" spans="1:16">
      <c r="A845" t="n" s="4">
        <v>840</v>
      </c>
      <c r="B845" s="2">
        <f>HYPERLINK("https://my.zakupki.prom.ua/remote/dispatcher/state_purchase_view/17971696", "UA-2020-07-20-001947-b")</f>
        <v/>
      </c>
      <c r="C845" t="s" s="2">
        <v>3245</v>
      </c>
      <c r="D845" s="2">
        <f>HYPERLINK("https://my.zakupki.prom.ua/remote/dispatcher/state_contracting_view/4872065", "UA-2020-07-20-001947-b-b1")</f>
        <v/>
      </c>
      <c r="E845" t="s" s="1">
        <v>1517</v>
      </c>
      <c r="F845" t="s" s="1">
        <v>2981</v>
      </c>
      <c r="G845" t="s" s="1">
        <v>2981</v>
      </c>
      <c r="H845" t="s" s="1">
        <v>830</v>
      </c>
      <c r="I845" t="s" s="1">
        <v>2361</v>
      </c>
      <c r="J845" t="s" s="1">
        <v>3409</v>
      </c>
      <c r="K845" t="s" s="1">
        <v>823</v>
      </c>
      <c r="L845" t="s" s="1">
        <v>293</v>
      </c>
      <c r="M845" t="n" s="5">
        <v>3272.06</v>
      </c>
      <c r="N845" t="n" s="7">
        <v>44032.0</v>
      </c>
      <c r="O845" t="n" s="7">
        <v>44196.0</v>
      </c>
      <c r="P845" t="s" s="1">
        <v>3499</v>
      </c>
    </row>
    <row r="846" spans="1:16">
      <c r="A846" t="n" s="4">
        <v>841</v>
      </c>
      <c r="B846" s="2">
        <f>HYPERLINK("https://my.zakupki.prom.ua/remote/dispatcher/state_purchase_view/18202409", "UA-2020-07-29-008332-c")</f>
        <v/>
      </c>
      <c r="C846" t="s" s="2">
        <v>3245</v>
      </c>
      <c r="D846" s="2">
        <f>HYPERLINK("https://my.zakupki.prom.ua/remote/dispatcher/state_contracting_view/4981095", "UA-2020-07-29-008332-c-c1")</f>
        <v/>
      </c>
      <c r="E846" t="s" s="1">
        <v>1744</v>
      </c>
      <c r="F846" t="s" s="1">
        <v>2589</v>
      </c>
      <c r="G846" t="s" s="1">
        <v>2589</v>
      </c>
      <c r="H846" t="s" s="1">
        <v>219</v>
      </c>
      <c r="I846" t="s" s="1">
        <v>2361</v>
      </c>
      <c r="J846" t="s" s="1">
        <v>3467</v>
      </c>
      <c r="K846" t="s" s="1">
        <v>766</v>
      </c>
      <c r="L846" t="s" s="1">
        <v>867</v>
      </c>
      <c r="M846" t="n" s="5">
        <v>10859.0</v>
      </c>
      <c r="N846" t="n" s="7">
        <v>44040.0</v>
      </c>
      <c r="O846" t="n" s="7">
        <v>44196.0</v>
      </c>
      <c r="P846" t="s" s="1">
        <v>3499</v>
      </c>
    </row>
    <row r="847" spans="1:16">
      <c r="A847" t="n" s="4">
        <v>842</v>
      </c>
      <c r="B847" s="2">
        <f>HYPERLINK("https://my.zakupki.prom.ua/remote/dispatcher/state_purchase_view/17912772", "UA-2020-07-16-001126-c")</f>
        <v/>
      </c>
      <c r="C847" t="s" s="2">
        <v>3245</v>
      </c>
      <c r="D847" s="2">
        <f>HYPERLINK("https://my.zakupki.prom.ua/remote/dispatcher/state_contracting_view/4844557", "UA-2020-07-16-001126-c-c1")</f>
        <v/>
      </c>
      <c r="E847" t="s" s="1">
        <v>1824</v>
      </c>
      <c r="F847" t="s" s="1">
        <v>2835</v>
      </c>
      <c r="G847" t="s" s="1">
        <v>2835</v>
      </c>
      <c r="H847" t="s" s="1">
        <v>703</v>
      </c>
      <c r="I847" t="s" s="1">
        <v>2361</v>
      </c>
      <c r="J847" t="s" s="1">
        <v>3401</v>
      </c>
      <c r="K847" t="s" s="1">
        <v>851</v>
      </c>
      <c r="L847" t="s" s="1">
        <v>3223</v>
      </c>
      <c r="M847" t="n" s="5">
        <v>33000.0</v>
      </c>
      <c r="N847" t="n" s="7">
        <v>44027.0</v>
      </c>
      <c r="O847" t="n" s="7">
        <v>44196.0</v>
      </c>
      <c r="P847" t="s" s="1">
        <v>3499</v>
      </c>
    </row>
    <row r="848" spans="1:16">
      <c r="A848" t="n" s="4">
        <v>843</v>
      </c>
      <c r="B848" s="2">
        <f>HYPERLINK("https://my.zakupki.prom.ua/remote/dispatcher/state_purchase_view/18184875", "UA-2020-07-29-002192-c")</f>
        <v/>
      </c>
      <c r="C848" t="s" s="2">
        <v>3245</v>
      </c>
      <c r="D848" s="2">
        <f>HYPERLINK("https://my.zakupki.prom.ua/remote/dispatcher/state_contracting_view/4972981", "UA-2020-07-29-002192-c-c1")</f>
        <v/>
      </c>
      <c r="E848" t="s" s="1">
        <v>2242</v>
      </c>
      <c r="F848" t="s" s="1">
        <v>3533</v>
      </c>
      <c r="G848" t="s" s="1">
        <v>3533</v>
      </c>
      <c r="H848" t="s" s="1">
        <v>855</v>
      </c>
      <c r="I848" t="s" s="1">
        <v>2361</v>
      </c>
      <c r="J848" t="s" s="1">
        <v>3386</v>
      </c>
      <c r="K848" t="s" s="1">
        <v>721</v>
      </c>
      <c r="L848" t="s" s="1">
        <v>1619</v>
      </c>
      <c r="M848" t="n" s="5">
        <v>15000.0</v>
      </c>
      <c r="N848" t="n" s="7">
        <v>44041.0</v>
      </c>
      <c r="O848" t="n" s="7">
        <v>44196.0</v>
      </c>
      <c r="P848" t="s" s="1">
        <v>3499</v>
      </c>
    </row>
    <row r="849" spans="1:16">
      <c r="A849" t="n" s="4">
        <v>844</v>
      </c>
      <c r="B849" s="2">
        <f>HYPERLINK("https://my.zakupki.prom.ua/remote/dispatcher/state_purchase_view/18426418", "UA-2020-08-10-004331-a")</f>
        <v/>
      </c>
      <c r="C849" t="s" s="2">
        <v>3245</v>
      </c>
      <c r="D849" s="2">
        <f>HYPERLINK("https://my.zakupki.prom.ua/remote/dispatcher/state_contracting_view/5083872", "UA-2020-08-10-004331-a-a1")</f>
        <v/>
      </c>
      <c r="E849" t="s" s="1">
        <v>28</v>
      </c>
      <c r="F849" t="s" s="1">
        <v>3057</v>
      </c>
      <c r="G849" t="s" s="1">
        <v>3057</v>
      </c>
      <c r="H849" t="s" s="1">
        <v>1014</v>
      </c>
      <c r="I849" t="s" s="1">
        <v>2361</v>
      </c>
      <c r="J849" t="s" s="1">
        <v>3251</v>
      </c>
      <c r="K849" t="s" s="1">
        <v>486</v>
      </c>
      <c r="L849" t="s" s="1">
        <v>1029</v>
      </c>
      <c r="M849" t="n" s="5">
        <v>81.51</v>
      </c>
      <c r="N849" t="n" s="7">
        <v>44053.0</v>
      </c>
      <c r="O849" t="n" s="7">
        <v>44196.0</v>
      </c>
      <c r="P849" t="s" s="1">
        <v>3499</v>
      </c>
    </row>
    <row r="850" spans="1:16">
      <c r="A850" t="n" s="4">
        <v>845</v>
      </c>
      <c r="B850" s="2">
        <f>HYPERLINK("https://my.zakupki.prom.ua/remote/dispatcher/state_purchase_view/18124131", "UA-2020-07-27-001002-b")</f>
        <v/>
      </c>
      <c r="C850" t="s" s="2">
        <v>3245</v>
      </c>
      <c r="D850" s="2">
        <f>HYPERLINK("https://my.zakupki.prom.ua/remote/dispatcher/state_contracting_view/4944257", "UA-2020-07-27-001002-b-b1")</f>
        <v/>
      </c>
      <c r="E850" t="s" s="1">
        <v>1458</v>
      </c>
      <c r="F850" t="s" s="1">
        <v>2873</v>
      </c>
      <c r="G850" t="s" s="1">
        <v>3489</v>
      </c>
      <c r="H850" t="s" s="1">
        <v>718</v>
      </c>
      <c r="I850" t="s" s="1">
        <v>2361</v>
      </c>
      <c r="J850" t="s" s="1">
        <v>3302</v>
      </c>
      <c r="K850" t="s" s="1">
        <v>617</v>
      </c>
      <c r="L850" t="s" s="1">
        <v>1357</v>
      </c>
      <c r="M850" t="n" s="5">
        <v>100188.7</v>
      </c>
      <c r="N850" t="n" s="7">
        <v>44039.0</v>
      </c>
      <c r="O850" t="n" s="7">
        <v>44196.0</v>
      </c>
      <c r="P850" t="s" s="1">
        <v>3499</v>
      </c>
    </row>
    <row r="851" spans="1:16">
      <c r="A851" t="n" s="4">
        <v>846</v>
      </c>
      <c r="B851" s="2">
        <f>HYPERLINK("https://my.zakupki.prom.ua/remote/dispatcher/state_purchase_view/17755840", "UA-2020-07-09-001616-c")</f>
        <v/>
      </c>
      <c r="C851" t="s" s="2">
        <v>3245</v>
      </c>
      <c r="D851" s="2">
        <f>HYPERLINK("https://my.zakupki.prom.ua/remote/dispatcher/state_contracting_view/4772486", "UA-2020-07-09-001616-c-c1")</f>
        <v/>
      </c>
      <c r="E851" t="s" s="1">
        <v>1699</v>
      </c>
      <c r="F851" t="s" s="1">
        <v>2744</v>
      </c>
      <c r="G851" t="s" s="1">
        <v>2744</v>
      </c>
      <c r="H851" t="s" s="1">
        <v>690</v>
      </c>
      <c r="I851" t="s" s="1">
        <v>2361</v>
      </c>
      <c r="J851" t="s" s="1">
        <v>3392</v>
      </c>
      <c r="K851" t="s" s="1">
        <v>428</v>
      </c>
      <c r="L851" t="s" s="1">
        <v>541</v>
      </c>
      <c r="M851" t="n" s="5">
        <v>6160.0</v>
      </c>
      <c r="N851" t="n" s="7">
        <v>44020.0</v>
      </c>
      <c r="O851" t="n" s="7">
        <v>44196.0</v>
      </c>
      <c r="P851" t="s" s="1">
        <v>3499</v>
      </c>
    </row>
    <row r="852" spans="1:16">
      <c r="A852" t="n" s="4">
        <v>847</v>
      </c>
      <c r="B852" s="2">
        <f>HYPERLINK("https://my.zakupki.prom.ua/remote/dispatcher/state_purchase_view/17778087", "UA-2020-07-09-007744-c")</f>
        <v/>
      </c>
      <c r="C852" t="s" s="2">
        <v>3245</v>
      </c>
      <c r="D852" s="2">
        <f>HYPERLINK("https://my.zakupki.prom.ua/remote/dispatcher/state_contracting_view/4782198", "UA-2020-07-09-007744-c-c1")</f>
        <v/>
      </c>
      <c r="E852" t="s" s="1">
        <v>1658</v>
      </c>
      <c r="F852" t="s" s="1">
        <v>2557</v>
      </c>
      <c r="G852" t="s" s="1">
        <v>2557</v>
      </c>
      <c r="H852" t="s" s="1">
        <v>216</v>
      </c>
      <c r="I852" t="s" s="1">
        <v>2361</v>
      </c>
      <c r="J852" t="s" s="1">
        <v>3467</v>
      </c>
      <c r="K852" t="s" s="1">
        <v>766</v>
      </c>
      <c r="L852" t="s" s="1">
        <v>611</v>
      </c>
      <c r="M852" t="n" s="5">
        <v>429.75</v>
      </c>
      <c r="N852" t="n" s="7">
        <v>44019.0</v>
      </c>
      <c r="O852" t="n" s="7">
        <v>44196.0</v>
      </c>
      <c r="P852" t="s" s="1">
        <v>3499</v>
      </c>
    </row>
    <row r="853" spans="1:16">
      <c r="A853" t="n" s="4">
        <v>848</v>
      </c>
      <c r="B853" s="2">
        <f>HYPERLINK("https://my.zakupki.prom.ua/remote/dispatcher/state_purchase_view/17236465", "UA-2020-06-15-003035-c")</f>
        <v/>
      </c>
      <c r="C853" t="s" s="2">
        <v>3245</v>
      </c>
      <c r="D853" s="2">
        <f>HYPERLINK("https://my.zakupki.prom.ua/remote/dispatcher/state_contracting_view/4531111", "UA-2020-06-15-003035-c-c1")</f>
        <v/>
      </c>
      <c r="E853" t="s" s="1">
        <v>814</v>
      </c>
      <c r="F853" t="s" s="1">
        <v>2487</v>
      </c>
      <c r="G853" t="s" s="1">
        <v>2487</v>
      </c>
      <c r="H853" t="s" s="1">
        <v>1496</v>
      </c>
      <c r="I853" t="s" s="1">
        <v>2361</v>
      </c>
      <c r="J853" t="s" s="1">
        <v>3207</v>
      </c>
      <c r="K853" t="s" s="1">
        <v>475</v>
      </c>
      <c r="L853" t="s" s="1">
        <v>48</v>
      </c>
      <c r="M853" t="n" s="5">
        <v>1336.99</v>
      </c>
      <c r="N853" t="n" s="7">
        <v>43997.0</v>
      </c>
      <c r="O853" t="n" s="7">
        <v>44196.0</v>
      </c>
      <c r="P853" t="s" s="1">
        <v>3499</v>
      </c>
    </row>
    <row r="854" spans="1:16">
      <c r="A854" t="n" s="4">
        <v>849</v>
      </c>
      <c r="B854" s="2">
        <f>HYPERLINK("https://my.zakupki.prom.ua/remote/dispatcher/state_purchase_view/17451956", "UA-2020-06-23-008930-a")</f>
        <v/>
      </c>
      <c r="C854" t="s" s="2">
        <v>3245</v>
      </c>
      <c r="D854" s="2">
        <f>HYPERLINK("https://my.zakupki.prom.ua/remote/dispatcher/state_contracting_view/4630626", "UA-2020-06-23-008930-a-a1")</f>
        <v/>
      </c>
      <c r="E854" t="s" s="1">
        <v>331</v>
      </c>
      <c r="F854" t="s" s="1">
        <v>2427</v>
      </c>
      <c r="G854" t="s" s="1">
        <v>2427</v>
      </c>
      <c r="H854" t="s" s="1">
        <v>438</v>
      </c>
      <c r="I854" t="s" s="1">
        <v>2361</v>
      </c>
      <c r="J854" t="s" s="1">
        <v>2286</v>
      </c>
      <c r="K854" t="s" s="1">
        <v>54</v>
      </c>
      <c r="L854" t="s" s="1">
        <v>253</v>
      </c>
      <c r="M854" t="n" s="5">
        <v>41730.0</v>
      </c>
      <c r="N854" t="n" s="7">
        <v>44005.0</v>
      </c>
      <c r="O854" t="n" s="7">
        <v>44196.0</v>
      </c>
      <c r="P854" t="s" s="1">
        <v>3499</v>
      </c>
    </row>
    <row r="855" spans="1:16">
      <c r="A855" t="n" s="4">
        <v>850</v>
      </c>
      <c r="B855" s="2">
        <f>HYPERLINK("https://my.zakupki.prom.ua/remote/dispatcher/state_purchase_view/17353995", "UA-2020-06-18-008101-c")</f>
        <v/>
      </c>
      <c r="C855" t="s" s="2">
        <v>3245</v>
      </c>
      <c r="D855" s="2">
        <f>HYPERLINK("https://my.zakupki.prom.ua/remote/dispatcher/state_contracting_view/4585437", "UA-2020-06-18-008101-c-c1")</f>
        <v/>
      </c>
      <c r="E855" t="s" s="1">
        <v>1954</v>
      </c>
      <c r="F855" t="s" s="1">
        <v>2459</v>
      </c>
      <c r="G855" t="s" s="1">
        <v>2459</v>
      </c>
      <c r="H855" t="s" s="1">
        <v>718</v>
      </c>
      <c r="I855" t="s" s="1">
        <v>2361</v>
      </c>
      <c r="J855" t="s" s="1">
        <v>3392</v>
      </c>
      <c r="K855" t="s" s="1">
        <v>428</v>
      </c>
      <c r="L855" t="s" s="1">
        <v>353</v>
      </c>
      <c r="M855" t="n" s="5">
        <v>9908.87</v>
      </c>
      <c r="N855" t="n" s="7">
        <v>43998.0</v>
      </c>
      <c r="O855" t="n" s="7">
        <v>44196.0</v>
      </c>
      <c r="P855" t="s" s="1">
        <v>3499</v>
      </c>
    </row>
    <row r="856" spans="1:16">
      <c r="A856" t="n" s="4">
        <v>851</v>
      </c>
      <c r="B856" s="2">
        <f>HYPERLINK("https://my.zakupki.prom.ua/remote/dispatcher/state_purchase_view/17317723", "UA-2020-06-17-007834-c")</f>
        <v/>
      </c>
      <c r="C856" t="s" s="2">
        <v>3245</v>
      </c>
      <c r="D856" s="2">
        <f>HYPERLINK("https://my.zakupki.prom.ua/remote/dispatcher/state_contracting_view/4568438", "UA-2020-06-17-007834-c-c1")</f>
        <v/>
      </c>
      <c r="E856" t="s" s="1">
        <v>1556</v>
      </c>
      <c r="F856" t="s" s="1">
        <v>2409</v>
      </c>
      <c r="G856" t="s" s="1">
        <v>2382</v>
      </c>
      <c r="H856" t="s" s="1">
        <v>690</v>
      </c>
      <c r="I856" t="s" s="1">
        <v>2361</v>
      </c>
      <c r="J856" t="s" s="1">
        <v>3392</v>
      </c>
      <c r="K856" t="s" s="1">
        <v>428</v>
      </c>
      <c r="L856" t="s" s="1">
        <v>344</v>
      </c>
      <c r="M856" t="n" s="5">
        <v>8092.7</v>
      </c>
      <c r="N856" t="n" s="7">
        <v>43998.0</v>
      </c>
      <c r="O856" t="n" s="7">
        <v>44196.0</v>
      </c>
      <c r="P856" t="s" s="1">
        <v>3499</v>
      </c>
    </row>
    <row r="857" spans="1:16">
      <c r="A857" t="n" s="4">
        <v>852</v>
      </c>
      <c r="B857" s="2">
        <f>HYPERLINK("https://my.zakupki.prom.ua/remote/dispatcher/state_purchase_view/17564824", "UA-2020-06-30-005992-a")</f>
        <v/>
      </c>
      <c r="C857" t="s" s="2">
        <v>3245</v>
      </c>
      <c r="D857" s="2">
        <f>HYPERLINK("https://my.zakupki.prom.ua/remote/dispatcher/state_contracting_view/4685310", "UA-2020-06-30-005992-a-a1")</f>
        <v/>
      </c>
      <c r="E857" t="s" s="1">
        <v>1877</v>
      </c>
      <c r="F857" t="s" s="1">
        <v>2473</v>
      </c>
      <c r="G857" t="s" s="1">
        <v>2473</v>
      </c>
      <c r="H857" t="s" s="1">
        <v>718</v>
      </c>
      <c r="I857" t="s" s="1">
        <v>2361</v>
      </c>
      <c r="J857" t="s" s="1">
        <v>3392</v>
      </c>
      <c r="K857" t="s" s="1">
        <v>428</v>
      </c>
      <c r="L857" t="s" s="1">
        <v>436</v>
      </c>
      <c r="M857" t="n" s="5">
        <v>28881.54</v>
      </c>
      <c r="N857" t="n" s="7">
        <v>44008.0</v>
      </c>
      <c r="O857" t="n" s="7">
        <v>44196.0</v>
      </c>
      <c r="P857" t="s" s="1">
        <v>3499</v>
      </c>
    </row>
    <row r="858" spans="1:16">
      <c r="A858" t="n" s="4">
        <v>853</v>
      </c>
      <c r="B858" s="2">
        <f>HYPERLINK("https://my.zakupki.prom.ua/remote/dispatcher/state_purchase_view/19204251", "UA-2020-09-11-005062-b")</f>
        <v/>
      </c>
      <c r="C858" t="s" s="2">
        <v>3245</v>
      </c>
      <c r="D858" s="2">
        <f>HYPERLINK("https://my.zakupki.prom.ua/remote/dispatcher/state_contracting_view/5452444", "UA-2020-09-11-005062-b-b1")</f>
        <v/>
      </c>
      <c r="E858" t="s" s="1">
        <v>909</v>
      </c>
      <c r="F858" t="s" s="1">
        <v>3026</v>
      </c>
      <c r="G858" t="s" s="1">
        <v>3026</v>
      </c>
      <c r="H858" t="s" s="1">
        <v>868</v>
      </c>
      <c r="I858" t="s" s="1">
        <v>2361</v>
      </c>
      <c r="J858" t="s" s="1">
        <v>3251</v>
      </c>
      <c r="K858" t="s" s="1">
        <v>486</v>
      </c>
      <c r="L858" t="s" s="1">
        <v>1271</v>
      </c>
      <c r="M858" t="n" s="5">
        <v>4911.5</v>
      </c>
      <c r="N858" t="n" s="7">
        <v>44085.0</v>
      </c>
      <c r="O858" t="n" s="7">
        <v>44196.0</v>
      </c>
      <c r="P858" t="s" s="1">
        <v>3499</v>
      </c>
    </row>
    <row r="859" spans="1:16">
      <c r="A859" t="n" s="4">
        <v>854</v>
      </c>
      <c r="B859" s="2">
        <f>HYPERLINK("https://my.zakupki.prom.ua/remote/dispatcher/state_purchase_view/19508122", "UA-2020-09-23-000303-b")</f>
        <v/>
      </c>
      <c r="C859" t="s" s="2">
        <v>3245</v>
      </c>
      <c r="D859" s="2">
        <f>HYPERLINK("https://my.zakupki.prom.ua/remote/dispatcher/state_contracting_view/5596477", "UA-2020-09-23-000303-b-b1")</f>
        <v/>
      </c>
      <c r="E859" t="s" s="1">
        <v>1979</v>
      </c>
      <c r="F859" t="s" s="1">
        <v>2570</v>
      </c>
      <c r="G859" t="s" s="1">
        <v>2570</v>
      </c>
      <c r="H859" t="s" s="1">
        <v>216</v>
      </c>
      <c r="I859" t="s" s="1">
        <v>2361</v>
      </c>
      <c r="J859" t="s" s="1">
        <v>3467</v>
      </c>
      <c r="K859" t="s" s="1">
        <v>766</v>
      </c>
      <c r="L859" t="s" s="1">
        <v>1370</v>
      </c>
      <c r="M859" t="n" s="5">
        <v>897.0</v>
      </c>
      <c r="N859" t="n" s="7">
        <v>44095.0</v>
      </c>
      <c r="O859" t="n" s="7">
        <v>44196.0</v>
      </c>
      <c r="P859" t="s" s="1">
        <v>3499</v>
      </c>
    </row>
    <row r="860" spans="1:16">
      <c r="A860" t="n" s="4">
        <v>855</v>
      </c>
      <c r="B860" s="2">
        <f>HYPERLINK("https://my.zakupki.prom.ua/remote/dispatcher/state_purchase_view/19507749", "UA-2020-09-23-000220-b")</f>
        <v/>
      </c>
      <c r="C860" t="s" s="2">
        <v>3245</v>
      </c>
      <c r="D860" s="2">
        <f>HYPERLINK("https://my.zakupki.prom.ua/remote/dispatcher/state_contracting_view/5596275", "UA-2020-09-23-000220-b-b1")</f>
        <v/>
      </c>
      <c r="E860" t="s" s="1">
        <v>1984</v>
      </c>
      <c r="F860" t="s" s="1">
        <v>2620</v>
      </c>
      <c r="G860" t="s" s="1">
        <v>2620</v>
      </c>
      <c r="H860" t="s" s="1">
        <v>225</v>
      </c>
      <c r="I860" t="s" s="1">
        <v>2361</v>
      </c>
      <c r="J860" t="s" s="1">
        <v>3467</v>
      </c>
      <c r="K860" t="s" s="1">
        <v>766</v>
      </c>
      <c r="L860" t="s" s="1">
        <v>1368</v>
      </c>
      <c r="M860" t="n" s="5">
        <v>845.0</v>
      </c>
      <c r="N860" t="n" s="7">
        <v>44095.0</v>
      </c>
      <c r="O860" t="n" s="7">
        <v>44196.0</v>
      </c>
      <c r="P860" t="s" s="1">
        <v>3499</v>
      </c>
    </row>
    <row r="861" spans="1:16">
      <c r="A861" t="n" s="4">
        <v>856</v>
      </c>
      <c r="B861" s="2">
        <f>HYPERLINK("https://my.zakupki.prom.ua/remote/dispatcher/state_purchase_view/19360991", "UA-2020-09-17-005492-a")</f>
        <v/>
      </c>
      <c r="C861" t="s" s="2">
        <v>3245</v>
      </c>
      <c r="D861" s="2">
        <f>HYPERLINK("https://my.zakupki.prom.ua/remote/dispatcher/state_contracting_view/5527400", "UA-2020-09-17-005492-a-a1")</f>
        <v/>
      </c>
      <c r="E861" t="s" s="1">
        <v>2103</v>
      </c>
      <c r="F861" t="s" s="1">
        <v>2767</v>
      </c>
      <c r="G861" t="s" s="1">
        <v>2766</v>
      </c>
      <c r="H861" t="s" s="1">
        <v>690</v>
      </c>
      <c r="I861" t="s" s="1">
        <v>2361</v>
      </c>
      <c r="J861" t="s" s="1">
        <v>3403</v>
      </c>
      <c r="K861" t="s" s="1">
        <v>771</v>
      </c>
      <c r="L861" t="s" s="1">
        <v>1345</v>
      </c>
      <c r="M861" t="n" s="5">
        <v>6615.0</v>
      </c>
      <c r="N861" t="n" s="7">
        <v>44091.0</v>
      </c>
      <c r="O861" t="n" s="7">
        <v>44196.0</v>
      </c>
      <c r="P861" t="s" s="1">
        <v>3499</v>
      </c>
    </row>
    <row r="862" spans="1:16">
      <c r="A862" t="n" s="4">
        <v>857</v>
      </c>
      <c r="B862" s="2">
        <f>HYPERLINK("https://my.zakupki.prom.ua/remote/dispatcher/state_purchase_view/19342162", "UA-2020-09-17-000394-a")</f>
        <v/>
      </c>
      <c r="C862" t="s" s="2">
        <v>3245</v>
      </c>
      <c r="D862" s="2">
        <f>HYPERLINK("https://my.zakupki.prom.ua/remote/dispatcher/state_contracting_view/5518268", "UA-2020-09-17-000394-a-a1")</f>
        <v/>
      </c>
      <c r="E862" t="s" s="1">
        <v>2057</v>
      </c>
      <c r="F862" t="s" s="1">
        <v>2609</v>
      </c>
      <c r="G862" t="s" s="1">
        <v>2609</v>
      </c>
      <c r="H862" t="s" s="1">
        <v>225</v>
      </c>
      <c r="I862" t="s" s="1">
        <v>2361</v>
      </c>
      <c r="J862" t="s" s="1">
        <v>3467</v>
      </c>
      <c r="K862" t="s" s="1">
        <v>766</v>
      </c>
      <c r="L862" t="s" s="1">
        <v>1325</v>
      </c>
      <c r="M862" t="n" s="5">
        <v>1307.5</v>
      </c>
      <c r="N862" t="n" s="7">
        <v>44089.0</v>
      </c>
      <c r="O862" t="n" s="7">
        <v>44196.0</v>
      </c>
      <c r="P862" t="s" s="1">
        <v>3499</v>
      </c>
    </row>
    <row r="863" spans="1:16">
      <c r="A863" t="n" s="4">
        <v>858</v>
      </c>
      <c r="B863" s="2">
        <f>HYPERLINK("https://my.zakupki.prom.ua/remote/dispatcher/state_purchase_view/19113339", "UA-2020-09-09-000497-b")</f>
        <v/>
      </c>
      <c r="C863" t="s" s="2">
        <v>3245</v>
      </c>
      <c r="D863" s="2">
        <f>HYPERLINK("https://my.zakupki.prom.ua/remote/dispatcher/state_contracting_view/5410094", "UA-2020-09-09-000497-b-b1")</f>
        <v/>
      </c>
      <c r="E863" t="s" s="1">
        <v>328</v>
      </c>
      <c r="F863" t="s" s="1">
        <v>2504</v>
      </c>
      <c r="G863" t="s" s="1">
        <v>2504</v>
      </c>
      <c r="H863" t="s" s="1">
        <v>38</v>
      </c>
      <c r="I863" t="s" s="1">
        <v>2361</v>
      </c>
      <c r="J863" t="s" s="1">
        <v>3467</v>
      </c>
      <c r="K863" t="s" s="1">
        <v>766</v>
      </c>
      <c r="L863" t="s" s="1">
        <v>1248</v>
      </c>
      <c r="M863" t="n" s="5">
        <v>648.0</v>
      </c>
      <c r="N863" t="n" s="7">
        <v>44081.0</v>
      </c>
      <c r="O863" t="n" s="7">
        <v>44196.0</v>
      </c>
      <c r="P863" t="s" s="1">
        <v>3499</v>
      </c>
    </row>
    <row r="864" spans="1:16">
      <c r="A864" t="n" s="4">
        <v>859</v>
      </c>
      <c r="B864" s="2">
        <f>HYPERLINK("https://my.zakupki.prom.ua/remote/dispatcher/state_purchase_view/19440063", "UA-2020-09-21-005193-b")</f>
        <v/>
      </c>
      <c r="C864" t="s" s="2">
        <v>3245</v>
      </c>
      <c r="D864" s="2">
        <f>HYPERLINK("https://my.zakupki.prom.ua/remote/dispatcher/state_contracting_view/5564181", "UA-2020-09-21-005193-b-b1")</f>
        <v/>
      </c>
      <c r="E864" t="s" s="1">
        <v>1278</v>
      </c>
      <c r="F864" t="s" s="1">
        <v>2836</v>
      </c>
      <c r="G864" t="s" s="1">
        <v>3564</v>
      </c>
      <c r="H864" t="s" s="1">
        <v>703</v>
      </c>
      <c r="I864" t="s" s="1">
        <v>2361</v>
      </c>
      <c r="J864" t="s" s="1">
        <v>2356</v>
      </c>
      <c r="K864" t="s" s="1">
        <v>424</v>
      </c>
      <c r="L864" t="s" s="1">
        <v>1363</v>
      </c>
      <c r="M864" t="n" s="5">
        <v>20500.0</v>
      </c>
      <c r="N864" t="n" s="7">
        <v>44095.0</v>
      </c>
      <c r="O864" t="n" s="7">
        <v>44196.0</v>
      </c>
      <c r="P864" t="s" s="1">
        <v>3499</v>
      </c>
    </row>
    <row r="865" spans="1:16">
      <c r="A865" t="n" s="4">
        <v>860</v>
      </c>
      <c r="B865" s="2">
        <f>HYPERLINK("https://my.zakupki.prom.ua/remote/dispatcher/state_purchase_view/19428227", "UA-2020-09-21-001450-b")</f>
        <v/>
      </c>
      <c r="C865" t="s" s="2">
        <v>3245</v>
      </c>
      <c r="D865" s="2">
        <f>HYPERLINK("https://my.zakupki.prom.ua/remote/dispatcher/state_contracting_view/5559235", "UA-2020-09-21-001450-b-b1")</f>
        <v/>
      </c>
      <c r="E865" t="s" s="1">
        <v>2073</v>
      </c>
      <c r="F865" t="s" s="1">
        <v>2668</v>
      </c>
      <c r="G865" t="s" s="1">
        <v>3503</v>
      </c>
      <c r="H865" t="s" s="1">
        <v>445</v>
      </c>
      <c r="I865" t="s" s="1">
        <v>2361</v>
      </c>
      <c r="J865" t="s" s="1">
        <v>3418</v>
      </c>
      <c r="K865" t="s" s="1">
        <v>949</v>
      </c>
      <c r="L865" t="s" s="1">
        <v>3192</v>
      </c>
      <c r="M865" t="n" s="5">
        <v>11280.0</v>
      </c>
      <c r="N865" t="n" s="7">
        <v>44095.0</v>
      </c>
      <c r="O865" t="n" s="7">
        <v>44196.0</v>
      </c>
      <c r="P865" t="s" s="1">
        <v>3499</v>
      </c>
    </row>
    <row r="866" spans="1:16">
      <c r="A866" t="n" s="4">
        <v>861</v>
      </c>
      <c r="B866" s="2">
        <f>HYPERLINK("https://my.zakupki.prom.ua/remote/dispatcher/state_purchase_view/18984720", "UA-2020-09-03-005681-b")</f>
        <v/>
      </c>
      <c r="C866" t="s" s="2">
        <v>3245</v>
      </c>
      <c r="D866" s="2">
        <f>HYPERLINK("https://my.zakupki.prom.ua/remote/dispatcher/state_contracting_view/5348598", "UA-2020-09-03-005681-b-b1")</f>
        <v/>
      </c>
      <c r="E866" t="s" s="1">
        <v>1991</v>
      </c>
      <c r="F866" t="s" s="1">
        <v>2615</v>
      </c>
      <c r="G866" t="s" s="1">
        <v>2615</v>
      </c>
      <c r="H866" t="s" s="1">
        <v>225</v>
      </c>
      <c r="I866" t="s" s="1">
        <v>2361</v>
      </c>
      <c r="J866" t="s" s="1">
        <v>3467</v>
      </c>
      <c r="K866" t="s" s="1">
        <v>766</v>
      </c>
      <c r="L866" t="s" s="1">
        <v>1216</v>
      </c>
      <c r="M866" t="n" s="5">
        <v>5559.5</v>
      </c>
      <c r="N866" t="n" s="7">
        <v>44075.0</v>
      </c>
      <c r="O866" t="n" s="7">
        <v>44196.0</v>
      </c>
      <c r="P866" t="s" s="1">
        <v>3499</v>
      </c>
    </row>
    <row r="867" spans="1:16">
      <c r="A867" t="n" s="4">
        <v>862</v>
      </c>
      <c r="B867" s="2">
        <f>HYPERLINK("https://my.zakupki.prom.ua/remote/dispatcher/state_purchase_view/20576701", "UA-2020-10-29-001089-c")</f>
        <v/>
      </c>
      <c r="C867" t="s" s="2">
        <v>3245</v>
      </c>
      <c r="D867" s="2">
        <f>HYPERLINK("https://my.zakupki.prom.ua/remote/dispatcher/state_contracting_view/6107704", "UA-2020-10-29-001089-c-c1")</f>
        <v/>
      </c>
      <c r="E867" t="s" s="1">
        <v>2015</v>
      </c>
      <c r="F867" t="s" s="1">
        <v>3069</v>
      </c>
      <c r="G867" t="s" s="1">
        <v>3069</v>
      </c>
      <c r="H867" t="s" s="1">
        <v>1022</v>
      </c>
      <c r="I867" t="s" s="1">
        <v>2361</v>
      </c>
      <c r="J867" t="s" s="1">
        <v>3251</v>
      </c>
      <c r="K867" t="s" s="1">
        <v>486</v>
      </c>
      <c r="L867" t="s" s="1">
        <v>3269</v>
      </c>
      <c r="M867" t="n" s="5">
        <v>2542.65</v>
      </c>
      <c r="N867" t="n" s="7">
        <v>44133.0</v>
      </c>
      <c r="O867" t="n" s="7">
        <v>44196.0</v>
      </c>
      <c r="P867" t="s" s="1">
        <v>3499</v>
      </c>
    </row>
    <row r="868" spans="1:16">
      <c r="A868" t="n" s="4">
        <v>863</v>
      </c>
      <c r="B868" s="2">
        <f>HYPERLINK("https://my.zakupki.prom.ua/remote/dispatcher/state_purchase_view/20985969", "UA-2020-11-11-010243-a")</f>
        <v/>
      </c>
      <c r="C868" t="s" s="2">
        <v>3245</v>
      </c>
      <c r="D868" s="2">
        <f>HYPERLINK("https://my.zakupki.prom.ua/remote/dispatcher/state_contracting_view/6301405", "UA-2020-11-11-010243-a-a1")</f>
        <v/>
      </c>
      <c r="E868" t="s" s="1">
        <v>837</v>
      </c>
      <c r="F868" t="s" s="1">
        <v>2640</v>
      </c>
      <c r="G868" t="s" s="1">
        <v>2640</v>
      </c>
      <c r="H868" t="s" s="1">
        <v>297</v>
      </c>
      <c r="I868" t="s" s="1">
        <v>2361</v>
      </c>
      <c r="J868" t="s" s="1">
        <v>3467</v>
      </c>
      <c r="K868" t="s" s="1">
        <v>766</v>
      </c>
      <c r="L868" t="s" s="1">
        <v>1693</v>
      </c>
      <c r="M868" t="n" s="5">
        <v>15270.0</v>
      </c>
      <c r="N868" t="n" s="7">
        <v>44146.0</v>
      </c>
      <c r="O868" t="n" s="7">
        <v>44196.0</v>
      </c>
      <c r="P868" t="s" s="1">
        <v>3499</v>
      </c>
    </row>
    <row r="869" spans="1:16">
      <c r="A869" t="n" s="4">
        <v>864</v>
      </c>
      <c r="B869" s="2">
        <f>HYPERLINK("https://my.zakupki.prom.ua/remote/dispatcher/state_purchase_view/20826248", "UA-2020-11-06-002182-c")</f>
        <v/>
      </c>
      <c r="C869" t="s" s="2">
        <v>3245</v>
      </c>
      <c r="D869" s="2">
        <f>HYPERLINK("https://my.zakupki.prom.ua/remote/dispatcher/state_contracting_view/6225192", "UA-2020-11-06-002182-c-c1")</f>
        <v/>
      </c>
      <c r="E869" t="s" s="1">
        <v>2033</v>
      </c>
      <c r="F869" t="s" s="1">
        <v>2971</v>
      </c>
      <c r="G869" t="s" s="1">
        <v>2971</v>
      </c>
      <c r="H869" t="s" s="1">
        <v>763</v>
      </c>
      <c r="I869" t="s" s="1">
        <v>2361</v>
      </c>
      <c r="J869" t="s" s="1">
        <v>3460</v>
      </c>
      <c r="K869" t="s" s="1">
        <v>548</v>
      </c>
      <c r="L869" t="s" s="1">
        <v>1642</v>
      </c>
      <c r="M869" t="n" s="5">
        <v>31570.0</v>
      </c>
      <c r="N869" t="n" s="7">
        <v>44140.0</v>
      </c>
      <c r="O869" t="n" s="7">
        <v>44196.0</v>
      </c>
      <c r="P869" t="s" s="1">
        <v>3499</v>
      </c>
    </row>
    <row r="870" spans="1:16">
      <c r="A870" t="n" s="4">
        <v>865</v>
      </c>
      <c r="B870" s="2">
        <f>HYPERLINK("https://my.zakupki.prom.ua/remote/dispatcher/state_purchase_view/20829904", "UA-2020-11-06-003474-c")</f>
        <v/>
      </c>
      <c r="C870" t="s" s="2">
        <v>3245</v>
      </c>
      <c r="D870" s="2">
        <f>HYPERLINK("https://my.zakupki.prom.ua/remote/dispatcher/state_contracting_view/6226445", "UA-2020-11-06-003474-c-c1")</f>
        <v/>
      </c>
      <c r="E870" t="s" s="1">
        <v>1279</v>
      </c>
      <c r="F870" t="s" s="1">
        <v>2696</v>
      </c>
      <c r="G870" t="s" s="1">
        <v>2696</v>
      </c>
      <c r="H870" t="s" s="1">
        <v>602</v>
      </c>
      <c r="I870" t="s" s="1">
        <v>2361</v>
      </c>
      <c r="J870" t="s" s="1">
        <v>3384</v>
      </c>
      <c r="K870" t="s" s="1">
        <v>930</v>
      </c>
      <c r="L870" t="s" s="1">
        <v>106</v>
      </c>
      <c r="M870" t="n" s="5">
        <v>9540.0</v>
      </c>
      <c r="N870" t="n" s="7">
        <v>44140.0</v>
      </c>
      <c r="O870" t="n" s="7">
        <v>44196.0</v>
      </c>
      <c r="P870" t="s" s="1">
        <v>3499</v>
      </c>
    </row>
    <row r="871" spans="1:16">
      <c r="A871" t="n" s="4">
        <v>866</v>
      </c>
      <c r="B871" s="2">
        <f>HYPERLINK("https://my.zakupki.prom.ua/remote/dispatcher/state_purchase_view/20880661", "UA-2020-11-09-002531-c")</f>
        <v/>
      </c>
      <c r="C871" t="s" s="2">
        <v>3245</v>
      </c>
      <c r="D871" s="2">
        <f>HYPERLINK("https://my.zakupki.prom.ua/remote/dispatcher/state_contracting_view/6251184", "UA-2020-11-09-002531-c-c1")</f>
        <v/>
      </c>
      <c r="E871" t="s" s="1">
        <v>1652</v>
      </c>
      <c r="F871" t="s" s="1">
        <v>2707</v>
      </c>
      <c r="G871" t="s" s="1">
        <v>2707</v>
      </c>
      <c r="H871" t="s" s="1">
        <v>630</v>
      </c>
      <c r="I871" t="s" s="1">
        <v>2361</v>
      </c>
      <c r="J871" t="s" s="1">
        <v>3251</v>
      </c>
      <c r="K871" t="s" s="1">
        <v>486</v>
      </c>
      <c r="L871" t="s" s="1">
        <v>3284</v>
      </c>
      <c r="M871" t="n" s="5">
        <v>115.0</v>
      </c>
      <c r="N871" t="n" s="7">
        <v>44144.0</v>
      </c>
      <c r="O871" t="n" s="7">
        <v>44196.0</v>
      </c>
      <c r="P871" t="s" s="1">
        <v>3499</v>
      </c>
    </row>
    <row r="872" spans="1:16">
      <c r="A872" t="n" s="4">
        <v>867</v>
      </c>
      <c r="B872" s="2">
        <f>HYPERLINK("https://my.zakupki.prom.ua/remote/dispatcher/state_purchase_view/20879200", "UA-2020-11-09-002050-c")</f>
        <v/>
      </c>
      <c r="C872" t="s" s="2">
        <v>3245</v>
      </c>
      <c r="D872" s="2">
        <f>HYPERLINK("https://my.zakupki.prom.ua/remote/dispatcher/state_contracting_view/6250597", "UA-2020-11-09-002050-c-c1")</f>
        <v/>
      </c>
      <c r="E872" t="s" s="1">
        <v>1892</v>
      </c>
      <c r="F872" t="s" s="1">
        <v>2675</v>
      </c>
      <c r="G872" t="s" s="1">
        <v>2675</v>
      </c>
      <c r="H872" t="s" s="1">
        <v>454</v>
      </c>
      <c r="I872" t="s" s="1">
        <v>2361</v>
      </c>
      <c r="J872" t="s" s="1">
        <v>3251</v>
      </c>
      <c r="K872" t="s" s="1">
        <v>486</v>
      </c>
      <c r="L872" t="s" s="1">
        <v>3279</v>
      </c>
      <c r="M872" t="n" s="5">
        <v>31.05</v>
      </c>
      <c r="N872" t="n" s="7">
        <v>44144.0</v>
      </c>
      <c r="O872" t="n" s="7">
        <v>44196.0</v>
      </c>
      <c r="P872" t="s" s="1">
        <v>3499</v>
      </c>
    </row>
    <row r="873" spans="1:16">
      <c r="A873" t="n" s="4">
        <v>868</v>
      </c>
      <c r="B873" s="2">
        <f>HYPERLINK("https://my.zakupki.prom.ua/remote/dispatcher/state_purchase_view/20736042", "UA-2020-11-04-003364-c")</f>
        <v/>
      </c>
      <c r="C873" t="s" s="2">
        <v>3245</v>
      </c>
      <c r="D873" s="2">
        <f>HYPERLINK("https://my.zakupki.prom.ua/remote/dispatcher/state_contracting_view/6182022", "UA-2020-11-04-003364-c-c1")</f>
        <v/>
      </c>
      <c r="E873" t="s" s="1">
        <v>2222</v>
      </c>
      <c r="F873" t="s" s="1">
        <v>2522</v>
      </c>
      <c r="G873" t="s" s="1">
        <v>2522</v>
      </c>
      <c r="H873" t="s" s="1">
        <v>39</v>
      </c>
      <c r="I873" t="s" s="1">
        <v>2361</v>
      </c>
      <c r="J873" t="s" s="1">
        <v>3467</v>
      </c>
      <c r="K873" t="s" s="1">
        <v>766</v>
      </c>
      <c r="L873" t="s" s="1">
        <v>1633</v>
      </c>
      <c r="M873" t="n" s="5">
        <v>11606.1</v>
      </c>
      <c r="N873" t="n" s="7">
        <v>44137.0</v>
      </c>
      <c r="O873" t="n" s="7">
        <v>44196.0</v>
      </c>
      <c r="P873" t="s" s="1">
        <v>3499</v>
      </c>
    </row>
    <row r="874" spans="1:16">
      <c r="A874" t="n" s="4">
        <v>869</v>
      </c>
      <c r="B874" s="2">
        <f>HYPERLINK("https://my.zakupki.prom.ua/remote/dispatcher/state_purchase_view/20278844", "UA-2020-10-20-006402-a")</f>
        <v/>
      </c>
      <c r="C874" t="s" s="2">
        <v>3245</v>
      </c>
      <c r="D874" s="2">
        <f>HYPERLINK("https://my.zakupki.prom.ua/remote/dispatcher/state_contracting_view/5960480", "UA-2020-10-20-006402-a-a1")</f>
        <v/>
      </c>
      <c r="E874" t="s" s="1">
        <v>1629</v>
      </c>
      <c r="F874" t="s" s="1">
        <v>2547</v>
      </c>
      <c r="G874" t="s" s="1">
        <v>2547</v>
      </c>
      <c r="H874" t="s" s="1">
        <v>209</v>
      </c>
      <c r="I874" t="s" s="1">
        <v>2361</v>
      </c>
      <c r="J874" t="s" s="1">
        <v>3467</v>
      </c>
      <c r="K874" t="s" s="1">
        <v>766</v>
      </c>
      <c r="L874" t="s" s="1">
        <v>1562</v>
      </c>
      <c r="M874" t="n" s="5">
        <v>15900.0</v>
      </c>
      <c r="N874" t="n" s="7">
        <v>44123.0</v>
      </c>
      <c r="O874" t="n" s="7">
        <v>44196.0</v>
      </c>
      <c r="P874" t="s" s="1">
        <v>3499</v>
      </c>
    </row>
    <row r="875" spans="1:16">
      <c r="A875" t="n" s="4">
        <v>870</v>
      </c>
      <c r="B875" s="2">
        <f>HYPERLINK("https://my.zakupki.prom.ua/remote/dispatcher/state_purchase_view/20279242", "UA-2020-10-20-006572-a")</f>
        <v/>
      </c>
      <c r="C875" t="s" s="2">
        <v>3245</v>
      </c>
      <c r="D875" s="2">
        <f>HYPERLINK("https://my.zakupki.prom.ua/remote/dispatcher/state_contracting_view/5960693", "UA-2020-10-20-006572-a-a1")</f>
        <v/>
      </c>
      <c r="E875" t="s" s="1">
        <v>1129</v>
      </c>
      <c r="F875" t="s" s="1">
        <v>2559</v>
      </c>
      <c r="G875" t="s" s="1">
        <v>2559</v>
      </c>
      <c r="H875" t="s" s="1">
        <v>216</v>
      </c>
      <c r="I875" t="s" s="1">
        <v>2361</v>
      </c>
      <c r="J875" t="s" s="1">
        <v>3467</v>
      </c>
      <c r="K875" t="s" s="1">
        <v>766</v>
      </c>
      <c r="L875" t="s" s="1">
        <v>1563</v>
      </c>
      <c r="M875" t="n" s="5">
        <v>3150.0</v>
      </c>
      <c r="N875" t="n" s="7">
        <v>44123.0</v>
      </c>
      <c r="O875" t="n" s="7">
        <v>44196.0</v>
      </c>
      <c r="P875" t="s" s="1">
        <v>3499</v>
      </c>
    </row>
    <row r="876" spans="1:16">
      <c r="A876" t="n" s="4">
        <v>871</v>
      </c>
      <c r="B876" s="2">
        <f>HYPERLINK("https://my.zakupki.prom.ua/remote/dispatcher/state_purchase_view/20596691", "UA-2020-10-29-006462-c")</f>
        <v/>
      </c>
      <c r="C876" t="s" s="2">
        <v>3245</v>
      </c>
      <c r="D876" s="2">
        <f>HYPERLINK("https://my.zakupki.prom.ua/remote/dispatcher/state_contracting_view/6117124", "UA-2020-10-29-006462-c-c1")</f>
        <v/>
      </c>
      <c r="E876" t="s" s="1">
        <v>1575</v>
      </c>
      <c r="F876" t="s" s="1">
        <v>2719</v>
      </c>
      <c r="G876" t="s" s="1">
        <v>2719</v>
      </c>
      <c r="H876" t="s" s="1">
        <v>637</v>
      </c>
      <c r="I876" t="s" s="1">
        <v>2361</v>
      </c>
      <c r="J876" t="s" s="1">
        <v>3251</v>
      </c>
      <c r="K876" t="s" s="1">
        <v>486</v>
      </c>
      <c r="L876" t="s" s="1">
        <v>3268</v>
      </c>
      <c r="M876" t="n" s="5">
        <v>174.8</v>
      </c>
      <c r="N876" t="n" s="7">
        <v>44133.0</v>
      </c>
      <c r="O876" t="n" s="7">
        <v>44196.0</v>
      </c>
      <c r="P876" t="s" s="1">
        <v>3499</v>
      </c>
    </row>
    <row r="877" spans="1:16">
      <c r="A877" t="n" s="4">
        <v>872</v>
      </c>
      <c r="B877" s="2">
        <f>HYPERLINK("https://my.zakupki.prom.ua/remote/dispatcher/state_purchase_view/20071352", "UA-2020-10-13-001762-c")</f>
        <v/>
      </c>
      <c r="C877" t="s" s="2">
        <v>3245</v>
      </c>
      <c r="D877" s="2">
        <f>HYPERLINK("https://my.zakupki.prom.ua/remote/dispatcher/state_contracting_view/5861910", "UA-2020-10-13-001762-c-c1")</f>
        <v/>
      </c>
      <c r="E877" t="s" s="1">
        <v>1339</v>
      </c>
      <c r="F877" t="s" s="1">
        <v>3031</v>
      </c>
      <c r="G877" t="s" s="1">
        <v>3031</v>
      </c>
      <c r="H877" t="s" s="1">
        <v>868</v>
      </c>
      <c r="I877" t="s" s="1">
        <v>2361</v>
      </c>
      <c r="J877" t="s" s="1">
        <v>3420</v>
      </c>
      <c r="K877" t="s" s="1">
        <v>535</v>
      </c>
      <c r="L877" t="s" s="1">
        <v>915</v>
      </c>
      <c r="M877" t="n" s="5">
        <v>772.0</v>
      </c>
      <c r="N877" t="n" s="7">
        <v>44116.0</v>
      </c>
      <c r="O877" t="n" s="7">
        <v>44196.0</v>
      </c>
      <c r="P877" t="s" s="1">
        <v>3499</v>
      </c>
    </row>
    <row r="878" spans="1:16">
      <c r="A878" t="n" s="4">
        <v>873</v>
      </c>
      <c r="B878" s="2">
        <f>HYPERLINK("https://my.zakupki.prom.ua/remote/dispatcher/state_purchase_view/17594032", "UA-2020-07-01-008988-a")</f>
        <v/>
      </c>
      <c r="C878" t="s" s="2">
        <v>3245</v>
      </c>
      <c r="D878" s="2">
        <f>HYPERLINK("https://my.zakupki.prom.ua/remote/dispatcher/state_contracting_view/4697088", "UA-2020-07-01-008988-a-a1")</f>
        <v/>
      </c>
      <c r="E878" t="s" s="1">
        <v>1723</v>
      </c>
      <c r="F878" t="s" s="1">
        <v>2407</v>
      </c>
      <c r="G878" t="s" s="1">
        <v>2354</v>
      </c>
      <c r="H878" t="s" s="1">
        <v>688</v>
      </c>
      <c r="I878" t="s" s="1">
        <v>2361</v>
      </c>
      <c r="J878" t="s" s="1">
        <v>3415</v>
      </c>
      <c r="K878" t="s" s="1">
        <v>878</v>
      </c>
      <c r="L878" t="s" s="1">
        <v>3451</v>
      </c>
      <c r="M878" t="n" s="5">
        <v>170400.0</v>
      </c>
      <c r="N878" t="n" s="7">
        <v>44012.0</v>
      </c>
      <c r="O878" t="n" s="7">
        <v>44196.0</v>
      </c>
      <c r="P878" t="s" s="1">
        <v>3499</v>
      </c>
    </row>
    <row r="879" spans="1:16">
      <c r="A879" t="n" s="4">
        <v>874</v>
      </c>
      <c r="B879" s="2">
        <f>HYPERLINK("https://my.zakupki.prom.ua/remote/dispatcher/state_purchase_view/17690077", "UA-2020-07-07-000864-a")</f>
        <v/>
      </c>
      <c r="C879" t="s" s="2">
        <v>3245</v>
      </c>
      <c r="D879" s="2">
        <f>HYPERLINK("https://my.zakupki.prom.ua/remote/dispatcher/state_contracting_view/4741358", "UA-2020-07-07-000864-a-a1")</f>
        <v/>
      </c>
      <c r="E879" t="s" s="1">
        <v>1702</v>
      </c>
      <c r="F879" t="s" s="1">
        <v>2463</v>
      </c>
      <c r="G879" t="s" s="1">
        <v>3247</v>
      </c>
      <c r="H879" t="s" s="1">
        <v>718</v>
      </c>
      <c r="I879" t="s" s="1">
        <v>2361</v>
      </c>
      <c r="J879" t="s" s="1">
        <v>3392</v>
      </c>
      <c r="K879" t="s" s="1">
        <v>428</v>
      </c>
      <c r="L879" t="s" s="1">
        <v>506</v>
      </c>
      <c r="M879" t="n" s="5">
        <v>21408.62</v>
      </c>
      <c r="N879" t="n" s="7">
        <v>44018.0</v>
      </c>
      <c r="O879" t="n" s="7">
        <v>44196.0</v>
      </c>
      <c r="P879" t="s" s="1">
        <v>3499</v>
      </c>
    </row>
    <row r="880" spans="1:16">
      <c r="A880" t="n" s="4">
        <v>875</v>
      </c>
      <c r="B880" s="2">
        <f>HYPERLINK("https://my.zakupki.prom.ua/remote/dispatcher/state_purchase_view/17789101", "UA-2020-07-10-001673-c")</f>
        <v/>
      </c>
      <c r="C880" t="s" s="2">
        <v>3245</v>
      </c>
      <c r="D880" s="2">
        <f>HYPERLINK("https://my.zakupki.prom.ua/remote/dispatcher/state_contracting_view/4787236", "UA-2020-07-10-001673-c-c1")</f>
        <v/>
      </c>
      <c r="E880" t="s" s="1">
        <v>882</v>
      </c>
      <c r="F880" t="s" s="1">
        <v>3108</v>
      </c>
      <c r="G880" t="s" s="1">
        <v>3108</v>
      </c>
      <c r="H880" t="s" s="1">
        <v>1307</v>
      </c>
      <c r="I880" t="s" s="1">
        <v>2361</v>
      </c>
      <c r="J880" t="s" s="1">
        <v>3388</v>
      </c>
      <c r="K880" t="s" s="1">
        <v>632</v>
      </c>
      <c r="L880" t="s" s="1">
        <v>552</v>
      </c>
      <c r="M880" t="n" s="5">
        <v>26460.0</v>
      </c>
      <c r="N880" t="n" s="7">
        <v>44022.0</v>
      </c>
      <c r="O880" t="n" s="7">
        <v>44196.0</v>
      </c>
      <c r="P880" t="s" s="1">
        <v>3499</v>
      </c>
    </row>
    <row r="881" spans="1:16">
      <c r="A881" t="n" s="4">
        <v>876</v>
      </c>
      <c r="B881" s="2">
        <f>HYPERLINK("https://my.zakupki.prom.ua/remote/dispatcher/state_purchase_view/17836297", "UA-2020-07-13-005826-c")</f>
        <v/>
      </c>
      <c r="C881" t="s" s="2">
        <v>3245</v>
      </c>
      <c r="D881" s="2">
        <f>HYPERLINK("https://my.zakupki.prom.ua/remote/dispatcher/state_contracting_view/4809427", "UA-2020-07-13-005826-c-c1")</f>
        <v/>
      </c>
      <c r="E881" t="s" s="1">
        <v>1930</v>
      </c>
      <c r="F881" t="s" s="1">
        <v>3042</v>
      </c>
      <c r="G881" t="s" s="1">
        <v>3042</v>
      </c>
      <c r="H881" t="s" s="1">
        <v>972</v>
      </c>
      <c r="I881" t="s" s="1">
        <v>2361</v>
      </c>
      <c r="J881" t="s" s="1">
        <v>3393</v>
      </c>
      <c r="K881" t="s" s="1">
        <v>671</v>
      </c>
      <c r="L881" t="s" s="1">
        <v>918</v>
      </c>
      <c r="M881" t="n" s="5">
        <v>31797.0</v>
      </c>
      <c r="N881" t="n" s="7">
        <v>44025.0</v>
      </c>
      <c r="O881" t="n" s="7">
        <v>44196.0</v>
      </c>
      <c r="P881" t="s" s="1">
        <v>3499</v>
      </c>
    </row>
    <row r="882" spans="1:16">
      <c r="A882" t="n" s="4">
        <v>877</v>
      </c>
      <c r="B882" s="2">
        <f>HYPERLINK("https://my.zakupki.prom.ua/remote/dispatcher/state_purchase_view/17223057", "UA-2020-06-12-010292-c")</f>
        <v/>
      </c>
      <c r="C882" t="s" s="2">
        <v>3245</v>
      </c>
      <c r="D882" s="2">
        <f>HYPERLINK("https://my.zakupki.prom.ua/remote/dispatcher/state_contracting_view/4525264", "UA-2020-06-12-010292-c-c1")</f>
        <v/>
      </c>
      <c r="E882" t="s" s="1">
        <v>1582</v>
      </c>
      <c r="F882" t="s" s="1">
        <v>2467</v>
      </c>
      <c r="G882" t="s" s="1">
        <v>3344</v>
      </c>
      <c r="H882" t="s" s="1">
        <v>718</v>
      </c>
      <c r="I882" t="s" s="1">
        <v>2361</v>
      </c>
      <c r="J882" t="s" s="1">
        <v>3392</v>
      </c>
      <c r="K882" t="s" s="1">
        <v>428</v>
      </c>
      <c r="L882" t="s" s="1">
        <v>273</v>
      </c>
      <c r="M882" t="n" s="5">
        <v>53.8</v>
      </c>
      <c r="N882" t="n" s="7">
        <v>43993.0</v>
      </c>
      <c r="O882" t="n" s="7">
        <v>44196.0</v>
      </c>
      <c r="P882" t="s" s="1">
        <v>3499</v>
      </c>
    </row>
    <row r="883" spans="1:16">
      <c r="A883" t="n" s="4">
        <v>878</v>
      </c>
      <c r="B883" s="2">
        <f>HYPERLINK("https://my.zakupki.prom.ua/remote/dispatcher/state_purchase_view/17228420", "UA-2020-06-15-000998-c")</f>
        <v/>
      </c>
      <c r="C883" t="s" s="2">
        <v>3245</v>
      </c>
      <c r="D883" s="2">
        <f>HYPERLINK("https://my.zakupki.prom.ua/remote/dispatcher/state_contracting_view/4527559", "UA-2020-06-15-000998-c-c1")</f>
        <v/>
      </c>
      <c r="E883" t="s" s="1">
        <v>1454</v>
      </c>
      <c r="F883" t="s" s="1">
        <v>2413</v>
      </c>
      <c r="G883" t="s" s="1">
        <v>3341</v>
      </c>
      <c r="H883" t="s" s="1">
        <v>690</v>
      </c>
      <c r="I883" t="s" s="1">
        <v>2361</v>
      </c>
      <c r="J883" t="s" s="1">
        <v>3392</v>
      </c>
      <c r="K883" t="s" s="1">
        <v>428</v>
      </c>
      <c r="L883" t="s" s="1">
        <v>292</v>
      </c>
      <c r="M883" t="n" s="5">
        <v>30471.5</v>
      </c>
      <c r="N883" t="n" s="7">
        <v>43993.0</v>
      </c>
      <c r="O883" t="n" s="7">
        <v>44196.0</v>
      </c>
      <c r="P883" t="s" s="1">
        <v>3499</v>
      </c>
    </row>
    <row r="884" spans="1:16">
      <c r="A884" t="n" s="4">
        <v>879</v>
      </c>
      <c r="B884" s="2">
        <f>HYPERLINK("https://my.zakupki.prom.ua/remote/dispatcher/state_purchase_view/17126853", "UA-2020-06-09-007603-b")</f>
        <v/>
      </c>
      <c r="C884" t="s" s="2">
        <v>3245</v>
      </c>
      <c r="D884" s="2">
        <f>HYPERLINK("https://my.zakupki.prom.ua/remote/dispatcher/state_contracting_view/4481112", "UA-2020-06-09-007603-b-b1")</f>
        <v/>
      </c>
      <c r="E884" t="s" s="1">
        <v>908</v>
      </c>
      <c r="F884" t="s" s="1">
        <v>2405</v>
      </c>
      <c r="G884" t="s" s="1">
        <v>3243</v>
      </c>
      <c r="H884" t="s" s="1">
        <v>665</v>
      </c>
      <c r="I884" t="s" s="1">
        <v>2361</v>
      </c>
      <c r="J884" t="s" s="1">
        <v>3384</v>
      </c>
      <c r="K884" t="s" s="1">
        <v>930</v>
      </c>
      <c r="L884" t="s" s="1">
        <v>269</v>
      </c>
      <c r="M884" t="n" s="5">
        <v>1080.0</v>
      </c>
      <c r="N884" t="n" s="7">
        <v>43991.0</v>
      </c>
      <c r="O884" t="n" s="7">
        <v>44196.0</v>
      </c>
      <c r="P884" t="s" s="1">
        <v>3499</v>
      </c>
    </row>
    <row r="885" spans="1:16">
      <c r="A885" t="n" s="4">
        <v>880</v>
      </c>
      <c r="B885" s="2">
        <f>HYPERLINK("https://my.zakupki.prom.ua/remote/dispatcher/state_purchase_view/17575911", "UA-2020-07-01-002867-a")</f>
        <v/>
      </c>
      <c r="C885" t="s" s="2">
        <v>3245</v>
      </c>
      <c r="D885" s="2">
        <f>HYPERLINK("https://my.zakupki.prom.ua/remote/dispatcher/state_contracting_view/4688607", "UA-2020-07-01-002867-a-a1")</f>
        <v/>
      </c>
      <c r="E885" t="s" s="1">
        <v>2146</v>
      </c>
      <c r="F885" t="s" s="1">
        <v>2429</v>
      </c>
      <c r="G885" t="s" s="1">
        <v>2429</v>
      </c>
      <c r="H885" t="s" s="1">
        <v>445</v>
      </c>
      <c r="I885" t="s" s="1">
        <v>2361</v>
      </c>
      <c r="J885" t="s" s="1">
        <v>3417</v>
      </c>
      <c r="K885" t="s" s="1">
        <v>950</v>
      </c>
      <c r="L885" t="s" s="1">
        <v>3180</v>
      </c>
      <c r="M885" t="n" s="5">
        <v>4500.0</v>
      </c>
      <c r="N885" t="n" s="7">
        <v>44012.0</v>
      </c>
      <c r="O885" t="n" s="7">
        <v>44196.0</v>
      </c>
      <c r="P885" t="s" s="1">
        <v>3499</v>
      </c>
    </row>
    <row r="886" spans="1:16">
      <c r="A886" t="n" s="4">
        <v>881</v>
      </c>
      <c r="B886" s="2">
        <f>HYPERLINK("https://my.zakupki.prom.ua/remote/dispatcher/state_purchase_view/18028569", "UA-2020-07-22-000777-b")</f>
        <v/>
      </c>
      <c r="C886" t="s" s="2">
        <v>3245</v>
      </c>
      <c r="D886" s="2">
        <f>HYPERLINK("https://my.zakupki.prom.ua/remote/dispatcher/state_contracting_view/4899252", "UA-2020-07-22-000777-b-b1")</f>
        <v/>
      </c>
      <c r="E886" t="s" s="1">
        <v>1986</v>
      </c>
      <c r="F886" t="s" s="1">
        <v>2556</v>
      </c>
      <c r="G886" t="s" s="1">
        <v>2556</v>
      </c>
      <c r="H886" t="s" s="1">
        <v>213</v>
      </c>
      <c r="I886" t="s" s="1">
        <v>2361</v>
      </c>
      <c r="J886" t="s" s="1">
        <v>3467</v>
      </c>
      <c r="K886" t="s" s="1">
        <v>766</v>
      </c>
      <c r="L886" t="s" s="1">
        <v>775</v>
      </c>
      <c r="M886" t="n" s="5">
        <v>230.0</v>
      </c>
      <c r="N886" t="n" s="7">
        <v>44033.0</v>
      </c>
      <c r="O886" t="n" s="7">
        <v>44196.0</v>
      </c>
      <c r="P886" t="s" s="1">
        <v>3499</v>
      </c>
    </row>
    <row r="887" spans="1:16">
      <c r="A887" t="n" s="4">
        <v>882</v>
      </c>
      <c r="B887" s="2">
        <f>HYPERLINK("https://my.zakupki.prom.ua/remote/dispatcher/state_purchase_view/17884304", "UA-2020-07-15-002119-c")</f>
        <v/>
      </c>
      <c r="C887" t="s" s="2">
        <v>3245</v>
      </c>
      <c r="D887" s="2">
        <f>HYPERLINK("https://my.zakupki.prom.ua/remote/dispatcher/state_contracting_view/4831579", "UA-2020-07-15-002119-c-c1")</f>
        <v/>
      </c>
      <c r="E887" t="s" s="1">
        <v>1616</v>
      </c>
      <c r="F887" t="s" s="1">
        <v>2571</v>
      </c>
      <c r="G887" t="s" s="1">
        <v>2571</v>
      </c>
      <c r="H887" t="s" s="1">
        <v>216</v>
      </c>
      <c r="I887" t="s" s="1">
        <v>2361</v>
      </c>
      <c r="J887" t="s" s="1">
        <v>3467</v>
      </c>
      <c r="K887" t="s" s="1">
        <v>766</v>
      </c>
      <c r="L887" t="s" s="1">
        <v>659</v>
      </c>
      <c r="M887" t="n" s="5">
        <v>420.0</v>
      </c>
      <c r="N887" t="n" s="7">
        <v>44026.0</v>
      </c>
      <c r="O887" t="n" s="7">
        <v>44196.0</v>
      </c>
      <c r="P887" t="s" s="1">
        <v>3499</v>
      </c>
    </row>
    <row r="888" spans="1:16">
      <c r="A888" t="n" s="4">
        <v>883</v>
      </c>
      <c r="B888" s="2">
        <f>HYPERLINK("https://my.zakupki.prom.ua/remote/dispatcher/state_purchase_view/17859023", "UA-2020-07-14-003970-c")</f>
        <v/>
      </c>
      <c r="C888" t="s" s="2">
        <v>3245</v>
      </c>
      <c r="D888" s="2">
        <f>HYPERLINK("https://my.zakupki.prom.ua/remote/dispatcher/state_contracting_view/4820219", "UA-2020-07-14-003970-c-c1")</f>
        <v/>
      </c>
      <c r="E888" t="s" s="1">
        <v>756</v>
      </c>
      <c r="F888" t="s" s="1">
        <v>2844</v>
      </c>
      <c r="G888" t="s" s="1">
        <v>2844</v>
      </c>
      <c r="H888" t="s" s="1">
        <v>703</v>
      </c>
      <c r="I888" t="s" s="1">
        <v>2361</v>
      </c>
      <c r="J888" t="s" s="1">
        <v>3461</v>
      </c>
      <c r="K888" t="s" s="1">
        <v>534</v>
      </c>
      <c r="L888" t="s" s="1">
        <v>657</v>
      </c>
      <c r="M888" t="n" s="5">
        <v>19000.0</v>
      </c>
      <c r="N888" t="n" s="7">
        <v>44026.0</v>
      </c>
      <c r="O888" t="n" s="7">
        <v>44196.0</v>
      </c>
      <c r="P888" t="s" s="1">
        <v>3499</v>
      </c>
    </row>
    <row r="889" spans="1:16">
      <c r="A889" t="n" s="4">
        <v>884</v>
      </c>
      <c r="B889" s="2">
        <f>HYPERLINK("https://my.zakupki.prom.ua/remote/dispatcher/state_purchase_view/17774365", "UA-2020-07-09-006718-c")</f>
        <v/>
      </c>
      <c r="C889" t="s" s="2">
        <v>3245</v>
      </c>
      <c r="D889" s="2">
        <f>HYPERLINK("https://my.zakupki.prom.ua/remote/dispatcher/state_contracting_view/4780730", "UA-2020-07-09-006718-c-c1")</f>
        <v/>
      </c>
      <c r="E889" t="s" s="1">
        <v>247</v>
      </c>
      <c r="F889" t="s" s="1">
        <v>2590</v>
      </c>
      <c r="G889" t="s" s="1">
        <v>2590</v>
      </c>
      <c r="H889" t="s" s="1">
        <v>221</v>
      </c>
      <c r="I889" t="s" s="1">
        <v>2361</v>
      </c>
      <c r="J889" t="s" s="1">
        <v>3467</v>
      </c>
      <c r="K889" t="s" s="1">
        <v>766</v>
      </c>
      <c r="L889" t="s" s="1">
        <v>605</v>
      </c>
      <c r="M889" t="n" s="5">
        <v>668.1</v>
      </c>
      <c r="N889" t="n" s="7">
        <v>44019.0</v>
      </c>
      <c r="O889" t="n" s="7">
        <v>44196.0</v>
      </c>
      <c r="P889" t="s" s="1">
        <v>3499</v>
      </c>
    </row>
    <row r="890" spans="1:16">
      <c r="A890" t="n" s="4">
        <v>885</v>
      </c>
      <c r="B890" s="2">
        <f>HYPERLINK("https://my.zakupki.prom.ua/remote/dispatcher/state_purchase_view/21295166", "UA-2020-11-20-011268-c")</f>
        <v/>
      </c>
      <c r="C890" t="s" s="2">
        <v>3245</v>
      </c>
      <c r="D890" s="2">
        <f>HYPERLINK("https://my.zakupki.prom.ua/remote/dispatcher/state_contracting_view/6445000", "UA-2020-11-20-011268-c-c1")</f>
        <v/>
      </c>
      <c r="E890" t="s" s="1">
        <v>310</v>
      </c>
      <c r="F890" t="s" s="1">
        <v>3086</v>
      </c>
      <c r="G890" t="s" s="1">
        <v>3086</v>
      </c>
      <c r="H890" t="s" s="1">
        <v>1042</v>
      </c>
      <c r="I890" t="s" s="1">
        <v>2361</v>
      </c>
      <c r="J890" t="s" s="1">
        <v>3251</v>
      </c>
      <c r="K890" t="s" s="1">
        <v>486</v>
      </c>
      <c r="L890" t="s" s="1">
        <v>1776</v>
      </c>
      <c r="M890" t="n" s="5">
        <v>49241.0</v>
      </c>
      <c r="N890" t="n" s="7">
        <v>44155.0</v>
      </c>
      <c r="O890" t="n" s="7">
        <v>44196.0</v>
      </c>
      <c r="P890" t="s" s="1">
        <v>3499</v>
      </c>
    </row>
    <row r="891" spans="1:16">
      <c r="A891" t="n" s="4">
        <v>886</v>
      </c>
      <c r="B891" s="2">
        <f>HYPERLINK("https://my.zakupki.prom.ua/remote/dispatcher/state_purchase_view/18614149", "UA-2020-08-18-001849-a")</f>
        <v/>
      </c>
      <c r="C891" t="s" s="2">
        <v>3245</v>
      </c>
      <c r="D891" s="2">
        <f>HYPERLINK("https://my.zakupki.prom.ua/remote/dispatcher/state_contracting_view/5235618", "UA-2020-08-18-001849-a-a1")</f>
        <v/>
      </c>
      <c r="E891" t="s" s="1">
        <v>1919</v>
      </c>
      <c r="F891" t="s" s="1">
        <v>2862</v>
      </c>
      <c r="G891" t="s" s="1">
        <v>3475</v>
      </c>
      <c r="H891" t="s" s="1">
        <v>718</v>
      </c>
      <c r="I891" t="s" s="1">
        <v>3313</v>
      </c>
      <c r="J891" t="s" s="1">
        <v>3302</v>
      </c>
      <c r="K891" t="s" s="1">
        <v>617</v>
      </c>
      <c r="L891" t="s" s="1">
        <v>1512</v>
      </c>
      <c r="M891" t="n" s="5">
        <v>113178.0</v>
      </c>
      <c r="N891" t="n" s="7">
        <v>44068.0</v>
      </c>
      <c r="O891" t="n" s="7">
        <v>44196.0</v>
      </c>
      <c r="P891" t="s" s="1">
        <v>3499</v>
      </c>
    </row>
    <row r="892" spans="1:16">
      <c r="A892" t="n" s="4">
        <v>887</v>
      </c>
      <c r="B892" s="2">
        <f>HYPERLINK("https://my.zakupki.prom.ua/remote/dispatcher/state_purchase_view/18903450", "UA-2020-09-01-001870-b")</f>
        <v/>
      </c>
      <c r="C892" t="s" s="2">
        <v>3245</v>
      </c>
      <c r="D892" s="2">
        <f>HYPERLINK("https://my.zakupki.prom.ua/remote/dispatcher/state_contracting_view/5315825", "UA-2020-09-01-001870-b-b1")</f>
        <v/>
      </c>
      <c r="E892" t="s" s="1">
        <v>1183</v>
      </c>
      <c r="F892" t="s" s="1">
        <v>2984</v>
      </c>
      <c r="G892" t="s" s="1">
        <v>2984</v>
      </c>
      <c r="H892" t="s" s="1">
        <v>844</v>
      </c>
      <c r="I892" t="s" s="1">
        <v>2361</v>
      </c>
      <c r="J892" t="s" s="1">
        <v>2291</v>
      </c>
      <c r="K892" t="s" s="1">
        <v>524</v>
      </c>
      <c r="L892" t="s" s="1">
        <v>1558</v>
      </c>
      <c r="M892" t="n" s="5">
        <v>6068.0</v>
      </c>
      <c r="N892" t="n" s="7">
        <v>44075.0</v>
      </c>
      <c r="O892" t="n" s="7">
        <v>44196.0</v>
      </c>
      <c r="P892" t="s" s="1">
        <v>3499</v>
      </c>
    </row>
    <row r="893" spans="1:16">
      <c r="A893" t="n" s="4">
        <v>888</v>
      </c>
      <c r="B893" s="2">
        <f>HYPERLINK("https://my.zakupki.prom.ua/remote/dispatcher/state_purchase_view/18936951", "UA-2020-09-02-002928-b")</f>
        <v/>
      </c>
      <c r="C893" t="s" s="2">
        <v>3245</v>
      </c>
      <c r="D893" s="2">
        <f>HYPERLINK("https://my.zakupki.prom.ua/remote/dispatcher/state_contracting_view/5325835", "UA-2020-09-02-002928-b-b1")</f>
        <v/>
      </c>
      <c r="E893" t="s" s="1">
        <v>304</v>
      </c>
      <c r="F893" t="s" s="1">
        <v>2912</v>
      </c>
      <c r="G893" t="s" s="1">
        <v>2912</v>
      </c>
      <c r="H893" t="s" s="1">
        <v>718</v>
      </c>
      <c r="I893" t="s" s="1">
        <v>2361</v>
      </c>
      <c r="J893" t="s" s="1">
        <v>3302</v>
      </c>
      <c r="K893" t="s" s="1">
        <v>617</v>
      </c>
      <c r="L893" t="s" s="1">
        <v>1208</v>
      </c>
      <c r="M893" t="n" s="5">
        <v>119544.3</v>
      </c>
      <c r="N893" t="n" s="7">
        <v>44075.0</v>
      </c>
      <c r="O893" t="n" s="7">
        <v>44196.0</v>
      </c>
      <c r="P893" t="s" s="1">
        <v>3499</v>
      </c>
    </row>
    <row r="894" spans="1:16">
      <c r="A894" t="n" s="4">
        <v>889</v>
      </c>
      <c r="B894" s="2">
        <f>HYPERLINK("https://my.zakupki.prom.ua/remote/dispatcher/state_purchase_view/20877707", "UA-2020-11-09-001529-c")</f>
        <v/>
      </c>
      <c r="C894" t="s" s="2">
        <v>3245</v>
      </c>
      <c r="D894" s="2">
        <f>HYPERLINK("https://my.zakupki.prom.ua/remote/dispatcher/state_contracting_view/6249792", "UA-2020-11-09-001529-c-c1")</f>
        <v/>
      </c>
      <c r="E894" t="s" s="1">
        <v>2142</v>
      </c>
      <c r="F894" t="s" s="1">
        <v>2723</v>
      </c>
      <c r="G894" t="s" s="1">
        <v>2723</v>
      </c>
      <c r="H894" t="s" s="1">
        <v>641</v>
      </c>
      <c r="I894" t="s" s="1">
        <v>2361</v>
      </c>
      <c r="J894" t="s" s="1">
        <v>3251</v>
      </c>
      <c r="K894" t="s" s="1">
        <v>486</v>
      </c>
      <c r="L894" t="s" s="1">
        <v>3276</v>
      </c>
      <c r="M894" t="n" s="5">
        <v>1410.6</v>
      </c>
      <c r="N894" t="n" s="7">
        <v>44144.0</v>
      </c>
      <c r="O894" t="n" s="7">
        <v>44196.0</v>
      </c>
      <c r="P894" t="s" s="1">
        <v>3499</v>
      </c>
    </row>
    <row r="895" spans="1:16">
      <c r="A895" t="n" s="4">
        <v>890</v>
      </c>
      <c r="B895" s="2">
        <f>HYPERLINK("https://my.zakupki.prom.ua/remote/dispatcher/state_purchase_view/20876298", "UA-2020-11-09-001015-c")</f>
        <v/>
      </c>
      <c r="C895" t="s" s="2">
        <v>3245</v>
      </c>
      <c r="D895" s="2">
        <f>HYPERLINK("https://my.zakupki.prom.ua/remote/dispatcher/state_contracting_view/6249193", "UA-2020-11-09-001015-c-c1")</f>
        <v/>
      </c>
      <c r="E895" t="s" s="1">
        <v>2127</v>
      </c>
      <c r="F895" t="s" s="1">
        <v>3074</v>
      </c>
      <c r="G895" t="s" s="1">
        <v>3074</v>
      </c>
      <c r="H895" t="s" s="1">
        <v>1025</v>
      </c>
      <c r="I895" t="s" s="1">
        <v>2361</v>
      </c>
      <c r="J895" t="s" s="1">
        <v>3251</v>
      </c>
      <c r="K895" t="s" s="1">
        <v>486</v>
      </c>
      <c r="L895" t="s" s="1">
        <v>3274</v>
      </c>
      <c r="M895" t="n" s="5">
        <v>195.5</v>
      </c>
      <c r="N895" t="n" s="7">
        <v>44144.0</v>
      </c>
      <c r="O895" t="n" s="7">
        <v>44196.0</v>
      </c>
      <c r="P895" t="s" s="1">
        <v>3499</v>
      </c>
    </row>
    <row r="896" spans="1:16">
      <c r="A896" t="n" s="4">
        <v>891</v>
      </c>
      <c r="B896" s="2">
        <f>HYPERLINK("https://my.zakupki.prom.ua/remote/dispatcher/state_purchase_view/20983973", "UA-2020-11-11-009707-a")</f>
        <v/>
      </c>
      <c r="C896" t="s" s="2">
        <v>3245</v>
      </c>
      <c r="D896" s="2">
        <f>HYPERLINK("https://my.zakupki.prom.ua/remote/dispatcher/state_contracting_view/6300521", "UA-2020-11-11-009707-a-a1")</f>
        <v/>
      </c>
      <c r="E896" t="s" s="1">
        <v>491</v>
      </c>
      <c r="F896" t="s" s="1">
        <v>2960</v>
      </c>
      <c r="G896" t="s" s="1">
        <v>2960</v>
      </c>
      <c r="H896" t="s" s="1">
        <v>738</v>
      </c>
      <c r="I896" t="s" s="1">
        <v>2361</v>
      </c>
      <c r="J896" t="s" s="1">
        <v>3467</v>
      </c>
      <c r="K896" t="s" s="1">
        <v>766</v>
      </c>
      <c r="L896" t="s" s="1">
        <v>1685</v>
      </c>
      <c r="M896" t="n" s="5">
        <v>3528.5</v>
      </c>
      <c r="N896" t="n" s="7">
        <v>44146.0</v>
      </c>
      <c r="O896" t="n" s="7">
        <v>44196.0</v>
      </c>
      <c r="P896" t="s" s="1">
        <v>3499</v>
      </c>
    </row>
    <row r="897" spans="1:16">
      <c r="A897" t="n" s="4">
        <v>892</v>
      </c>
      <c r="B897" s="2">
        <f>HYPERLINK("https://my.zakupki.prom.ua/remote/dispatcher/state_purchase_view/21484454", "UA-2020-11-26-007899-b")</f>
        <v/>
      </c>
      <c r="C897" t="s" s="2">
        <v>3245</v>
      </c>
      <c r="D897" s="2">
        <f>HYPERLINK("https://my.zakupki.prom.ua/remote/dispatcher/state_contracting_view/6533598", "UA-2020-11-26-007899-b-b1")</f>
        <v/>
      </c>
      <c r="E897" t="s" s="1">
        <v>1200</v>
      </c>
      <c r="F897" t="s" s="1">
        <v>2878</v>
      </c>
      <c r="G897" t="s" s="1">
        <v>3496</v>
      </c>
      <c r="H897" t="s" s="1">
        <v>718</v>
      </c>
      <c r="I897" t="s" s="1">
        <v>2361</v>
      </c>
      <c r="J897" t="s" s="1">
        <v>3300</v>
      </c>
      <c r="K897" t="s" s="1">
        <v>593</v>
      </c>
      <c r="L897" t="s" s="1">
        <v>1797</v>
      </c>
      <c r="M897" t="n" s="5">
        <v>511473.25</v>
      </c>
      <c r="N897" t="n" s="7">
        <v>44161.0</v>
      </c>
      <c r="O897" t="n" s="7">
        <v>44196.0</v>
      </c>
      <c r="P897" t="s" s="1">
        <v>3499</v>
      </c>
    </row>
    <row r="898" spans="1:16">
      <c r="A898" t="n" s="4">
        <v>893</v>
      </c>
      <c r="B898" s="2">
        <f>HYPERLINK("https://my.zakupki.prom.ua/remote/dispatcher/state_purchase_view/21121524", "UA-2020-11-17-000114-c")</f>
        <v/>
      </c>
      <c r="C898" t="s" s="2">
        <v>3245</v>
      </c>
      <c r="D898" s="2">
        <f>HYPERLINK("https://my.zakupki.prom.ua/remote/dispatcher/state_contracting_view/6364411", "UA-2020-11-17-000114-c-c1")</f>
        <v/>
      </c>
      <c r="E898" t="s" s="1">
        <v>779</v>
      </c>
      <c r="F898" t="s" s="1">
        <v>3146</v>
      </c>
      <c r="G898" t="s" s="1">
        <v>3146</v>
      </c>
      <c r="H898" t="s" s="1">
        <v>1758</v>
      </c>
      <c r="I898" t="s" s="1">
        <v>2361</v>
      </c>
      <c r="J898" t="s" s="1">
        <v>3390</v>
      </c>
      <c r="K898" t="s" s="1">
        <v>816</v>
      </c>
      <c r="L898" t="s" s="1">
        <v>1648</v>
      </c>
      <c r="M898" t="n" s="5">
        <v>49980.0</v>
      </c>
      <c r="N898" t="n" s="7">
        <v>44151.0</v>
      </c>
      <c r="O898" t="n" s="7">
        <v>44196.0</v>
      </c>
      <c r="P898" t="s" s="1">
        <v>3499</v>
      </c>
    </row>
    <row r="899" spans="1:16">
      <c r="A899" t="n" s="4">
        <v>894</v>
      </c>
      <c r="B899" s="2">
        <f>HYPERLINK("https://my.zakupki.prom.ua/remote/dispatcher/state_purchase_view/21173330", "UA-2020-11-18-001543-c")</f>
        <v/>
      </c>
      <c r="C899" t="s" s="2">
        <v>3245</v>
      </c>
      <c r="D899" s="2">
        <f>HYPERLINK("https://my.zakupki.prom.ua/remote/dispatcher/state_contracting_view/6388345", "UA-2020-11-18-001543-c-c1")</f>
        <v/>
      </c>
      <c r="E899" t="s" s="1">
        <v>267</v>
      </c>
      <c r="F899" t="s" s="1">
        <v>2579</v>
      </c>
      <c r="G899" t="s" s="1">
        <v>2579</v>
      </c>
      <c r="H899" t="s" s="1">
        <v>219</v>
      </c>
      <c r="I899" t="s" s="1">
        <v>2361</v>
      </c>
      <c r="J899" t="s" s="1">
        <v>3467</v>
      </c>
      <c r="K899" t="s" s="1">
        <v>766</v>
      </c>
      <c r="L899" t="s" s="1">
        <v>1755</v>
      </c>
      <c r="M899" t="n" s="5">
        <v>22073.5</v>
      </c>
      <c r="N899" t="n" s="7">
        <v>44151.0</v>
      </c>
      <c r="O899" t="n" s="7">
        <v>44196.0</v>
      </c>
      <c r="P899" t="s" s="1">
        <v>3499</v>
      </c>
    </row>
    <row r="900" spans="1:16">
      <c r="A900" t="n" s="4">
        <v>895</v>
      </c>
      <c r="B900" s="2">
        <f>HYPERLINK("https://my.zakupki.prom.ua/remote/dispatcher/state_purchase_view/17984643", "UA-2020-07-20-005390-b")</f>
        <v/>
      </c>
      <c r="C900" t="s" s="2">
        <v>3245</v>
      </c>
      <c r="D900" s="2">
        <f>HYPERLINK("https://my.zakupki.prom.ua/remote/dispatcher/state_contracting_view/4878492", "UA-2020-07-20-005390-b-b1")</f>
        <v/>
      </c>
      <c r="E900" t="s" s="1">
        <v>1976</v>
      </c>
      <c r="F900" t="s" s="1">
        <v>2759</v>
      </c>
      <c r="G900" t="s" s="1">
        <v>2759</v>
      </c>
      <c r="H900" t="s" s="1">
        <v>690</v>
      </c>
      <c r="I900" t="s" s="1">
        <v>2361</v>
      </c>
      <c r="J900" t="s" s="1">
        <v>2375</v>
      </c>
      <c r="K900" t="s" s="1">
        <v>649</v>
      </c>
      <c r="L900" t="s" s="1">
        <v>805</v>
      </c>
      <c r="M900" t="n" s="5">
        <v>11000.0</v>
      </c>
      <c r="N900" t="n" s="7">
        <v>44032.0</v>
      </c>
      <c r="O900" t="n" s="7">
        <v>44196.0</v>
      </c>
      <c r="P900" t="s" s="1">
        <v>3499</v>
      </c>
    </row>
    <row r="901" spans="1:16">
      <c r="A901" t="n" s="4">
        <v>896</v>
      </c>
      <c r="B901" s="2">
        <f>HYPERLINK("https://my.zakupki.prom.ua/remote/dispatcher/state_purchase_view/18335163", "UA-2020-08-05-006342-a")</f>
        <v/>
      </c>
      <c r="C901" t="s" s="2">
        <v>3245</v>
      </c>
      <c r="D901" s="2">
        <f>HYPERLINK("https://my.zakupki.prom.ua/remote/dispatcher/state_contracting_view/5041284", "UA-2020-08-05-006342-a-a1")</f>
        <v/>
      </c>
      <c r="E901" t="s" s="1">
        <v>911</v>
      </c>
      <c r="F901" t="s" s="1">
        <v>2622</v>
      </c>
      <c r="G901" t="s" s="1">
        <v>2622</v>
      </c>
      <c r="H901" t="s" s="1">
        <v>225</v>
      </c>
      <c r="I901" t="s" s="1">
        <v>2361</v>
      </c>
      <c r="J901" t="s" s="1">
        <v>3467</v>
      </c>
      <c r="K901" t="s" s="1">
        <v>766</v>
      </c>
      <c r="L901" t="s" s="1">
        <v>958</v>
      </c>
      <c r="M901" t="n" s="5">
        <v>847.5</v>
      </c>
      <c r="N901" t="n" s="7">
        <v>44047.0</v>
      </c>
      <c r="O901" t="n" s="7">
        <v>44196.0</v>
      </c>
      <c r="P901" t="s" s="1">
        <v>3499</v>
      </c>
    </row>
    <row r="902" spans="1:16">
      <c r="A902" t="n" s="4">
        <v>897</v>
      </c>
      <c r="B902" s="2">
        <f>HYPERLINK("https://my.zakupki.prom.ua/remote/dispatcher/state_purchase_view/18512203", "UA-2020-08-13-001062-a")</f>
        <v/>
      </c>
      <c r="C902" t="s" s="2">
        <v>3245</v>
      </c>
      <c r="D902" s="2">
        <f>HYPERLINK("https://my.zakupki.prom.ua/remote/dispatcher/state_contracting_view/5124325", "UA-2020-08-13-001062-a-a1")</f>
        <v/>
      </c>
      <c r="E902" t="s" s="1">
        <v>2064</v>
      </c>
      <c r="F902" t="s" s="1">
        <v>2892</v>
      </c>
      <c r="G902" t="s" s="1">
        <v>3516</v>
      </c>
      <c r="H902" t="s" s="1">
        <v>718</v>
      </c>
      <c r="I902" t="s" s="1">
        <v>2361</v>
      </c>
      <c r="J902" t="s" s="1">
        <v>3392</v>
      </c>
      <c r="K902" t="s" s="1">
        <v>428</v>
      </c>
      <c r="L902" t="s" s="1">
        <v>1074</v>
      </c>
      <c r="M902" t="n" s="5">
        <v>30164.0</v>
      </c>
      <c r="N902" t="n" s="7">
        <v>44056.0</v>
      </c>
      <c r="O902" t="n" s="7">
        <v>44196.0</v>
      </c>
      <c r="P902" t="s" s="1">
        <v>3499</v>
      </c>
    </row>
    <row r="903" spans="1:16">
      <c r="A903" t="n" s="4">
        <v>898</v>
      </c>
      <c r="B903" s="2">
        <f>HYPERLINK("https://my.zakupki.prom.ua/remote/dispatcher/state_purchase_view/18644457", "UA-2020-08-19-000771-a")</f>
        <v/>
      </c>
      <c r="C903" t="s" s="2">
        <v>3245</v>
      </c>
      <c r="D903" s="2">
        <f>HYPERLINK("https://my.zakupki.prom.ua/remote/dispatcher/state_contracting_view/5186498", "UA-2020-08-19-000771-a-a1")</f>
        <v/>
      </c>
      <c r="E903" t="s" s="1">
        <v>1431</v>
      </c>
      <c r="F903" t="s" s="1">
        <v>2561</v>
      </c>
      <c r="G903" t="s" s="1">
        <v>2561</v>
      </c>
      <c r="H903" t="s" s="1">
        <v>216</v>
      </c>
      <c r="I903" t="s" s="1">
        <v>2361</v>
      </c>
      <c r="J903" t="s" s="1">
        <v>3467</v>
      </c>
      <c r="K903" t="s" s="1">
        <v>766</v>
      </c>
      <c r="L903" t="s" s="1">
        <v>1104</v>
      </c>
      <c r="M903" t="n" s="5">
        <v>888.0</v>
      </c>
      <c r="N903" t="n" s="7">
        <v>44060.0</v>
      </c>
      <c r="O903" t="n" s="7">
        <v>44196.0</v>
      </c>
      <c r="P903" t="s" s="1">
        <v>3499</v>
      </c>
    </row>
    <row r="904" spans="1:16">
      <c r="A904" t="n" s="4">
        <v>899</v>
      </c>
      <c r="B904" s="2">
        <f>HYPERLINK("https://my.zakupki.prom.ua/remote/dispatcher/state_purchase_view/18254519", "UA-2020-08-03-000698-c")</f>
        <v/>
      </c>
      <c r="C904" t="s" s="2">
        <v>3245</v>
      </c>
      <c r="D904" s="2">
        <f>HYPERLINK("https://my.zakupki.prom.ua/remote/dispatcher/state_contracting_view/5004166", "UA-2020-08-03-000698-c-c1")</f>
        <v/>
      </c>
      <c r="E904" t="s" s="1">
        <v>1795</v>
      </c>
      <c r="F904" t="s" s="1">
        <v>2908</v>
      </c>
      <c r="G904" t="s" s="1">
        <v>3352</v>
      </c>
      <c r="H904" t="s" s="1">
        <v>718</v>
      </c>
      <c r="I904" t="s" s="1">
        <v>2361</v>
      </c>
      <c r="J904" t="s" s="1">
        <v>3392</v>
      </c>
      <c r="K904" t="s" s="1">
        <v>428</v>
      </c>
      <c r="L904" t="s" s="1">
        <v>922</v>
      </c>
      <c r="M904" t="n" s="5">
        <v>36695.97</v>
      </c>
      <c r="N904" t="n" s="7">
        <v>44046.0</v>
      </c>
      <c r="O904" t="n" s="7">
        <v>44196.0</v>
      </c>
      <c r="P904" t="s" s="1">
        <v>3499</v>
      </c>
    </row>
    <row r="905" spans="1:16">
      <c r="A905" t="n" s="4">
        <v>900</v>
      </c>
      <c r="B905" s="2">
        <f>HYPERLINK("https://my.zakupki.prom.ua/remote/dispatcher/state_purchase_view/18256894", "UA-2020-08-03-001441-c")</f>
        <v/>
      </c>
      <c r="C905" t="s" s="2">
        <v>3245</v>
      </c>
      <c r="D905" s="2">
        <f>HYPERLINK("https://my.zakupki.prom.ua/remote/dispatcher/state_contracting_view/5005220", "UA-2020-08-03-001441-c-c1")</f>
        <v/>
      </c>
      <c r="E905" t="s" s="1">
        <v>90</v>
      </c>
      <c r="F905" t="s" s="1">
        <v>2903</v>
      </c>
      <c r="G905" t="s" s="1">
        <v>3534</v>
      </c>
      <c r="H905" t="s" s="1">
        <v>718</v>
      </c>
      <c r="I905" t="s" s="1">
        <v>2361</v>
      </c>
      <c r="J905" t="s" s="1">
        <v>3392</v>
      </c>
      <c r="K905" t="s" s="1">
        <v>428</v>
      </c>
      <c r="L905" t="s" s="1">
        <v>925</v>
      </c>
      <c r="M905" t="n" s="5">
        <v>1476.49</v>
      </c>
      <c r="N905" t="n" s="7">
        <v>44046.0</v>
      </c>
      <c r="O905" t="n" s="7">
        <v>44196.0</v>
      </c>
      <c r="P905" t="s" s="1">
        <v>3499</v>
      </c>
    </row>
    <row r="906" spans="1:16">
      <c r="A906" t="n" s="4">
        <v>901</v>
      </c>
      <c r="B906" s="2">
        <f>HYPERLINK("https://my.zakupki.prom.ua/remote/dispatcher/state_purchase_view/18479906", "UA-2020-08-12-001741-a")</f>
        <v/>
      </c>
      <c r="C906" t="s" s="2">
        <v>3245</v>
      </c>
      <c r="D906" s="2">
        <f>HYPERLINK("https://my.zakupki.prom.ua/remote/dispatcher/state_contracting_view/5108971", "UA-2020-08-12-001741-a-a1")</f>
        <v/>
      </c>
      <c r="E906" t="s" s="1">
        <v>1941</v>
      </c>
      <c r="F906" t="s" s="1">
        <v>2617</v>
      </c>
      <c r="G906" t="s" s="1">
        <v>2617</v>
      </c>
      <c r="H906" t="s" s="1">
        <v>225</v>
      </c>
      <c r="I906" t="s" s="1">
        <v>2361</v>
      </c>
      <c r="J906" t="s" s="1">
        <v>3467</v>
      </c>
      <c r="K906" t="s" s="1">
        <v>766</v>
      </c>
      <c r="L906" t="s" s="1">
        <v>1065</v>
      </c>
      <c r="M906" t="n" s="5">
        <v>4997.0</v>
      </c>
      <c r="N906" t="n" s="7">
        <v>44053.0</v>
      </c>
      <c r="O906" t="n" s="7">
        <v>44196.0</v>
      </c>
      <c r="P906" t="s" s="1">
        <v>3499</v>
      </c>
    </row>
    <row r="907" spans="1:16">
      <c r="A907" t="n" s="4">
        <v>902</v>
      </c>
      <c r="B907" s="2">
        <f>HYPERLINK("https://my.zakupki.prom.ua/remote/dispatcher/state_purchase_view/18619257", "UA-2020-08-18-003323-a")</f>
        <v/>
      </c>
      <c r="C907" t="s" s="2">
        <v>3245</v>
      </c>
      <c r="D907" s="2">
        <f>HYPERLINK("https://my.zakupki.prom.ua/remote/dispatcher/state_contracting_view/5174790", "UA-2020-08-18-003323-a-a1")</f>
        <v/>
      </c>
      <c r="E907" t="s" s="1">
        <v>654</v>
      </c>
      <c r="F907" t="s" s="1">
        <v>2966</v>
      </c>
      <c r="G907" t="s" s="1">
        <v>2966</v>
      </c>
      <c r="H907" t="s" s="1">
        <v>742</v>
      </c>
      <c r="I907" t="s" s="1">
        <v>2361</v>
      </c>
      <c r="J907" t="s" s="1">
        <v>3403</v>
      </c>
      <c r="K907" t="s" s="1">
        <v>771</v>
      </c>
      <c r="L907" t="s" s="1">
        <v>1100</v>
      </c>
      <c r="M907" t="n" s="5">
        <v>7500.0</v>
      </c>
      <c r="N907" t="n" s="7">
        <v>44061.0</v>
      </c>
      <c r="O907" t="n" s="7">
        <v>44196.0</v>
      </c>
      <c r="P907" t="s" s="1">
        <v>3499</v>
      </c>
    </row>
    <row r="908" spans="1:16">
      <c r="A908" t="n" s="4">
        <v>903</v>
      </c>
      <c r="B908" s="2">
        <f>HYPERLINK("https://my.zakupki.prom.ua/remote/dispatcher/state_purchase_view/18597025", "UA-2020-08-17-006183-a")</f>
        <v/>
      </c>
      <c r="C908" t="s" s="2">
        <v>3245</v>
      </c>
      <c r="D908" s="2">
        <f>HYPERLINK("https://my.zakupki.prom.ua/remote/dispatcher/state_contracting_view/5164241", "UA-2020-08-17-006183-a-a1")</f>
        <v/>
      </c>
      <c r="E908" t="s" s="1">
        <v>1229</v>
      </c>
      <c r="F908" t="s" s="1">
        <v>2895</v>
      </c>
      <c r="G908" t="s" s="1">
        <v>3523</v>
      </c>
      <c r="H908" t="s" s="1">
        <v>718</v>
      </c>
      <c r="I908" t="s" s="1">
        <v>2361</v>
      </c>
      <c r="J908" t="s" s="1">
        <v>3392</v>
      </c>
      <c r="K908" t="s" s="1">
        <v>428</v>
      </c>
      <c r="L908" t="s" s="1">
        <v>1094</v>
      </c>
      <c r="M908" t="n" s="5">
        <v>282761.82</v>
      </c>
      <c r="N908" t="n" s="7">
        <v>44060.0</v>
      </c>
      <c r="O908" t="n" s="7">
        <v>44196.0</v>
      </c>
      <c r="P908" t="s" s="1">
        <v>3499</v>
      </c>
    </row>
    <row r="909" spans="1:16">
      <c r="A909" t="n" s="4">
        <v>904</v>
      </c>
      <c r="B909" s="2">
        <f>HYPERLINK("https://my.zakupki.prom.ua/remote/dispatcher/state_purchase_view/19359544", "UA-2020-09-17-005146-a")</f>
        <v/>
      </c>
      <c r="C909" t="s" s="2">
        <v>3245</v>
      </c>
      <c r="D909" s="2">
        <f>HYPERLINK("https://my.zakupki.prom.ua/remote/dispatcher/state_contracting_view/5526642", "UA-2020-09-17-005146-a-a1")</f>
        <v/>
      </c>
      <c r="E909" t="s" s="1">
        <v>1959</v>
      </c>
      <c r="F909" t="s" s="1">
        <v>2747</v>
      </c>
      <c r="G909" t="s" s="1">
        <v>3485</v>
      </c>
      <c r="H909" t="s" s="1">
        <v>690</v>
      </c>
      <c r="I909" t="s" s="1">
        <v>2361</v>
      </c>
      <c r="J909" t="s" s="1">
        <v>3250</v>
      </c>
      <c r="K909" t="s" s="1">
        <v>419</v>
      </c>
      <c r="L909" t="s" s="1">
        <v>1346</v>
      </c>
      <c r="M909" t="n" s="5">
        <v>11600.0</v>
      </c>
      <c r="N909" t="n" s="7">
        <v>44091.0</v>
      </c>
      <c r="O909" t="n" s="7">
        <v>44196.0</v>
      </c>
      <c r="P909" t="s" s="1">
        <v>3499</v>
      </c>
    </row>
    <row r="910" spans="1:16">
      <c r="A910" t="n" s="4">
        <v>905</v>
      </c>
      <c r="B910" s="2">
        <f>HYPERLINK("https://my.zakupki.prom.ua/remote/dispatcher/state_purchase_view/19341443", "UA-2020-09-17-000261-a")</f>
        <v/>
      </c>
      <c r="C910" t="s" s="2">
        <v>3245</v>
      </c>
      <c r="D910" s="2">
        <f>HYPERLINK("https://my.zakupki.prom.ua/remote/dispatcher/state_contracting_view/5518224", "UA-2020-09-17-000261-a-a1")</f>
        <v/>
      </c>
      <c r="E910" t="s" s="1">
        <v>1142</v>
      </c>
      <c r="F910" t="s" s="1">
        <v>2519</v>
      </c>
      <c r="G910" t="s" s="1">
        <v>2519</v>
      </c>
      <c r="H910" t="s" s="1">
        <v>39</v>
      </c>
      <c r="I910" t="s" s="1">
        <v>2361</v>
      </c>
      <c r="J910" t="s" s="1">
        <v>3467</v>
      </c>
      <c r="K910" t="s" s="1">
        <v>766</v>
      </c>
      <c r="L910" t="s" s="1">
        <v>1324</v>
      </c>
      <c r="M910" t="n" s="5">
        <v>6735.7</v>
      </c>
      <c r="N910" t="n" s="7">
        <v>44089.0</v>
      </c>
      <c r="O910" t="n" s="7">
        <v>44196.0</v>
      </c>
      <c r="P910" t="s" s="1">
        <v>3499</v>
      </c>
    </row>
    <row r="911" spans="1:16">
      <c r="A911" t="n" s="4">
        <v>906</v>
      </c>
      <c r="B911" s="2">
        <f>HYPERLINK("https://my.zakupki.prom.ua/remote/dispatcher/state_purchase_view/19886779", "UA-2020-10-07-001393-a")</f>
        <v/>
      </c>
      <c r="C911" t="s" s="2">
        <v>3245</v>
      </c>
      <c r="D911" s="2">
        <f>HYPERLINK("https://my.zakupki.prom.ua/remote/dispatcher/state_contracting_view/5774718", "UA-2020-10-07-001393-a-a1")</f>
        <v/>
      </c>
      <c r="E911" t="s" s="1">
        <v>1792</v>
      </c>
      <c r="F911" t="s" s="1">
        <v>2560</v>
      </c>
      <c r="G911" t="s" s="1">
        <v>2560</v>
      </c>
      <c r="H911" t="s" s="1">
        <v>216</v>
      </c>
      <c r="I911" t="s" s="1">
        <v>2361</v>
      </c>
      <c r="J911" t="s" s="1">
        <v>3467</v>
      </c>
      <c r="K911" t="s" s="1">
        <v>766</v>
      </c>
      <c r="L911" t="s" s="1">
        <v>1480</v>
      </c>
      <c r="M911" t="n" s="5">
        <v>1050.0</v>
      </c>
      <c r="N911" t="n" s="7">
        <v>44109.0</v>
      </c>
      <c r="O911" t="n" s="7">
        <v>44196.0</v>
      </c>
      <c r="P911" t="s" s="1">
        <v>3499</v>
      </c>
    </row>
    <row r="912" spans="1:16">
      <c r="A912" t="n" s="4">
        <v>907</v>
      </c>
      <c r="B912" s="2">
        <f>HYPERLINK("https://my.zakupki.prom.ua/remote/dispatcher/state_purchase_view/19885354", "UA-2020-10-07-000972-a")</f>
        <v/>
      </c>
      <c r="C912" t="s" s="2">
        <v>3245</v>
      </c>
      <c r="D912" s="2">
        <f>HYPERLINK("https://my.zakupki.prom.ua/remote/dispatcher/state_contracting_view/5773757", "UA-2020-10-07-000972-a-a1")</f>
        <v/>
      </c>
      <c r="E912" t="s" s="1">
        <v>980</v>
      </c>
      <c r="F912" t="s" s="1">
        <v>2556</v>
      </c>
      <c r="G912" t="s" s="1">
        <v>2556</v>
      </c>
      <c r="H912" t="s" s="1">
        <v>213</v>
      </c>
      <c r="I912" t="s" s="1">
        <v>2361</v>
      </c>
      <c r="J912" t="s" s="1">
        <v>3467</v>
      </c>
      <c r="K912" t="s" s="1">
        <v>766</v>
      </c>
      <c r="L912" t="s" s="1">
        <v>1449</v>
      </c>
      <c r="M912" t="n" s="5">
        <v>591.2</v>
      </c>
      <c r="N912" t="n" s="7">
        <v>44109.0</v>
      </c>
      <c r="O912" t="n" s="7">
        <v>44196.0</v>
      </c>
      <c r="P912" t="s" s="1">
        <v>3499</v>
      </c>
    </row>
    <row r="913" spans="1:16">
      <c r="A913" t="n" s="4">
        <v>908</v>
      </c>
      <c r="B913" s="2">
        <f>HYPERLINK("https://my.zakupki.prom.ua/remote/dispatcher/state_purchase_view/20107837", "UA-2020-10-15-002565-c")</f>
        <v/>
      </c>
      <c r="C913" t="s" s="2">
        <v>3245</v>
      </c>
      <c r="D913" s="2">
        <f>HYPERLINK("https://my.zakupki.prom.ua/remote/dispatcher/state_contracting_view/5878872", "UA-2020-10-15-002565-c-c1")</f>
        <v/>
      </c>
      <c r="E913" t="s" s="1">
        <v>2221</v>
      </c>
      <c r="F913" t="s" s="1">
        <v>2521</v>
      </c>
      <c r="G913" t="s" s="1">
        <v>2521</v>
      </c>
      <c r="H913" t="s" s="1">
        <v>39</v>
      </c>
      <c r="I913" t="s" s="1">
        <v>2361</v>
      </c>
      <c r="J913" t="s" s="1">
        <v>3467</v>
      </c>
      <c r="K913" t="s" s="1">
        <v>766</v>
      </c>
      <c r="L913" t="s" s="1">
        <v>1520</v>
      </c>
      <c r="M913" t="n" s="5">
        <v>8960.75</v>
      </c>
      <c r="N913" t="n" s="7">
        <v>44116.0</v>
      </c>
      <c r="O913" t="n" s="7">
        <v>44196.0</v>
      </c>
      <c r="P913" t="s" s="1">
        <v>3499</v>
      </c>
    </row>
    <row r="914" spans="1:16">
      <c r="A914" t="n" s="4">
        <v>909</v>
      </c>
      <c r="B914" s="2">
        <f>HYPERLINK("https://my.zakupki.prom.ua/remote/dispatcher/state_purchase_view/20686427", "UA-2020-11-03-001328-c")</f>
        <v/>
      </c>
      <c r="C914" t="s" s="2">
        <v>3245</v>
      </c>
      <c r="D914" s="2">
        <f>HYPERLINK("https://my.zakupki.prom.ua/remote/dispatcher/state_contracting_view/6167582", "UA-2020-11-03-001328-c-c1")</f>
        <v/>
      </c>
      <c r="E914" t="s" s="1">
        <v>2219</v>
      </c>
      <c r="F914" t="s" s="1">
        <v>3087</v>
      </c>
      <c r="G914" t="s" s="1">
        <v>3087</v>
      </c>
      <c r="H914" t="s" s="1">
        <v>1042</v>
      </c>
      <c r="I914" t="s" s="1">
        <v>2361</v>
      </c>
      <c r="J914" t="s" s="1">
        <v>3251</v>
      </c>
      <c r="K914" t="s" s="1">
        <v>486</v>
      </c>
      <c r="L914" t="s" s="1">
        <v>1621</v>
      </c>
      <c r="M914" t="n" s="5">
        <v>48934.0</v>
      </c>
      <c r="N914" t="n" s="7">
        <v>44137.0</v>
      </c>
      <c r="O914" t="n" s="7">
        <v>44196.0</v>
      </c>
      <c r="P914" t="s" s="1">
        <v>3499</v>
      </c>
    </row>
    <row r="915" spans="1:16">
      <c r="A915" t="n" s="4">
        <v>910</v>
      </c>
      <c r="B915" s="2">
        <f>HYPERLINK("https://my.zakupki.prom.ua/remote/dispatcher/state_purchase_view/20577598", "UA-2020-10-29-001361-c")</f>
        <v/>
      </c>
      <c r="C915" t="s" s="2">
        <v>3245</v>
      </c>
      <c r="D915" s="2">
        <f>HYPERLINK("https://my.zakupki.prom.ua/remote/dispatcher/state_contracting_view/6109702", "UA-2020-10-29-001361-c-c1")</f>
        <v/>
      </c>
      <c r="E915" t="s" s="1">
        <v>1698</v>
      </c>
      <c r="F915" t="s" s="1">
        <v>2632</v>
      </c>
      <c r="G915" t="s" s="1">
        <v>2632</v>
      </c>
      <c r="H915" t="s" s="1">
        <v>270</v>
      </c>
      <c r="I915" t="s" s="1">
        <v>2361</v>
      </c>
      <c r="J915" t="s" s="1">
        <v>3251</v>
      </c>
      <c r="K915" t="s" s="1">
        <v>486</v>
      </c>
      <c r="L915" t="s" s="1">
        <v>3291</v>
      </c>
      <c r="M915" t="n" s="5">
        <v>1301.8</v>
      </c>
      <c r="N915" t="n" s="7">
        <v>44133.0</v>
      </c>
      <c r="O915" t="n" s="7">
        <v>44196.0</v>
      </c>
      <c r="P915" t="s" s="1">
        <v>3499</v>
      </c>
    </row>
    <row r="916" spans="1:16">
      <c r="A916" t="n" s="4">
        <v>911</v>
      </c>
      <c r="B916" s="2">
        <f>HYPERLINK("https://my.zakupki.prom.ua/remote/dispatcher/state_purchase_view/20581337", "UA-2020-10-29-002413-c")</f>
        <v/>
      </c>
      <c r="C916" t="s" s="2">
        <v>3245</v>
      </c>
      <c r="D916" s="2">
        <f>HYPERLINK("https://my.zakupki.prom.ua/remote/dispatcher/state_contracting_view/6109965", "UA-2020-10-29-002413-c-c1")</f>
        <v/>
      </c>
      <c r="E916" t="s" s="1">
        <v>2145</v>
      </c>
      <c r="F916" t="s" s="1">
        <v>3047</v>
      </c>
      <c r="G916" t="s" s="1">
        <v>3047</v>
      </c>
      <c r="H916" t="s" s="1">
        <v>1006</v>
      </c>
      <c r="I916" t="s" s="1">
        <v>2361</v>
      </c>
      <c r="J916" t="s" s="1">
        <v>3251</v>
      </c>
      <c r="K916" t="s" s="1">
        <v>486</v>
      </c>
      <c r="L916" t="s" s="1">
        <v>3294</v>
      </c>
      <c r="M916" t="n" s="5">
        <v>1990.67</v>
      </c>
      <c r="N916" t="n" s="7">
        <v>44133.0</v>
      </c>
      <c r="O916" t="n" s="7">
        <v>44196.0</v>
      </c>
      <c r="P916" t="s" s="1">
        <v>3499</v>
      </c>
    </row>
    <row r="917" spans="1:16">
      <c r="A917" t="n" s="4">
        <v>912</v>
      </c>
      <c r="B917" s="2">
        <f>HYPERLINK("https://my.zakupki.prom.ua/remote/dispatcher/state_purchase_view/20378143", "UA-2020-10-22-009767-a")</f>
        <v/>
      </c>
      <c r="C917" t="s" s="2">
        <v>3245</v>
      </c>
      <c r="D917" s="2">
        <f>HYPERLINK("https://my.zakupki.prom.ua/remote/dispatcher/state_contracting_view/6009884", "UA-2020-10-22-009767-a-a1")</f>
        <v/>
      </c>
      <c r="E917" t="s" s="1">
        <v>1996</v>
      </c>
      <c r="F917" t="s" s="1">
        <v>2755</v>
      </c>
      <c r="G917" t="s" s="1">
        <v>3487</v>
      </c>
      <c r="H917" t="s" s="1">
        <v>690</v>
      </c>
      <c r="I917" t="s" s="1">
        <v>2361</v>
      </c>
      <c r="J917" t="s" s="1">
        <v>3403</v>
      </c>
      <c r="K917" t="s" s="1">
        <v>771</v>
      </c>
      <c r="L917" t="s" s="1">
        <v>1570</v>
      </c>
      <c r="M917" t="n" s="5">
        <v>1409.0</v>
      </c>
      <c r="N917" t="n" s="7">
        <v>44124.0</v>
      </c>
      <c r="O917" t="n" s="7">
        <v>44196.0</v>
      </c>
      <c r="P917" t="s" s="1">
        <v>3499</v>
      </c>
    </row>
    <row r="918" spans="1:16">
      <c r="A918" t="n" s="4">
        <v>913</v>
      </c>
      <c r="B918" s="2">
        <f>HYPERLINK("https://my.zakupki.prom.ua/remote/dispatcher/state_purchase_view/20376935", "UA-2020-10-22-009368-a")</f>
        <v/>
      </c>
      <c r="C918" t="s" s="2">
        <v>3245</v>
      </c>
      <c r="D918" s="2">
        <f>HYPERLINK("https://my.zakupki.prom.ua/remote/dispatcher/state_contracting_view/6008673", "UA-2020-10-22-009368-a-a1")</f>
        <v/>
      </c>
      <c r="E918" t="s" s="1">
        <v>2151</v>
      </c>
      <c r="F918" t="s" s="1">
        <v>3015</v>
      </c>
      <c r="G918" t="s" s="1">
        <v>3015</v>
      </c>
      <c r="H918" t="s" s="1">
        <v>857</v>
      </c>
      <c r="I918" t="s" s="1">
        <v>2361</v>
      </c>
      <c r="J918" t="s" s="1">
        <v>3388</v>
      </c>
      <c r="K918" t="s" s="1">
        <v>632</v>
      </c>
      <c r="L918" t="s" s="1">
        <v>1607</v>
      </c>
      <c r="M918" t="n" s="5">
        <v>3960.0</v>
      </c>
      <c r="N918" t="n" s="7">
        <v>44125.0</v>
      </c>
      <c r="O918" t="n" s="7">
        <v>44196.0</v>
      </c>
      <c r="P918" t="s" s="1">
        <v>3499</v>
      </c>
    </row>
    <row r="919" spans="1:16">
      <c r="A919" t="n" s="4">
        <v>914</v>
      </c>
      <c r="B919" s="2">
        <f>HYPERLINK("https://my.zakupki.prom.ua/remote/dispatcher/state_purchase_view/19430792", "UA-2020-09-21-002376-b")</f>
        <v/>
      </c>
      <c r="C919" t="s" s="2">
        <v>3245</v>
      </c>
      <c r="D919" s="2">
        <f>HYPERLINK("https://my.zakupki.prom.ua/remote/dispatcher/state_contracting_view/5560228", "UA-2020-09-21-002376-b-b1")</f>
        <v/>
      </c>
      <c r="E919" t="s" s="1">
        <v>2007</v>
      </c>
      <c r="F919" t="s" s="1">
        <v>3009</v>
      </c>
      <c r="G919" t="s" s="1">
        <v>3009</v>
      </c>
      <c r="H919" t="s" s="1">
        <v>855</v>
      </c>
      <c r="I919" t="s" s="1">
        <v>2361</v>
      </c>
      <c r="J919" t="s" s="1">
        <v>3418</v>
      </c>
      <c r="K919" t="s" s="1">
        <v>949</v>
      </c>
      <c r="L919" t="s" s="1">
        <v>3191</v>
      </c>
      <c r="M919" t="n" s="5">
        <v>53100.0</v>
      </c>
      <c r="N919" t="n" s="7">
        <v>44095.0</v>
      </c>
      <c r="O919" t="n" s="7">
        <v>44196.0</v>
      </c>
      <c r="P919" t="s" s="1">
        <v>3499</v>
      </c>
    </row>
    <row r="920" spans="1:16">
      <c r="A920" t="n" s="4">
        <v>915</v>
      </c>
      <c r="B920" s="2">
        <f>HYPERLINK("https://my.zakupki.prom.ua/remote/dispatcher/state_purchase_view/19644292", "UA-2020-09-28-002756-a")</f>
        <v/>
      </c>
      <c r="C920" t="s" s="2">
        <v>3245</v>
      </c>
      <c r="D920" s="2">
        <f>HYPERLINK("https://my.zakupki.prom.ua/remote/dispatcher/state_contracting_view/5661640", "UA-2020-09-28-002756-a-a1")</f>
        <v/>
      </c>
      <c r="E920" t="s" s="1">
        <v>1579</v>
      </c>
      <c r="F920" t="s" s="1">
        <v>2926</v>
      </c>
      <c r="G920" t="s" s="1">
        <v>3563</v>
      </c>
      <c r="H920" t="s" s="1">
        <v>718</v>
      </c>
      <c r="I920" t="s" s="1">
        <v>2361</v>
      </c>
      <c r="J920" t="s" s="1">
        <v>3392</v>
      </c>
      <c r="K920" t="s" s="1">
        <v>428</v>
      </c>
      <c r="L920" t="s" s="1">
        <v>1396</v>
      </c>
      <c r="M920" t="n" s="5">
        <v>43645.74</v>
      </c>
      <c r="N920" t="n" s="7">
        <v>44102.0</v>
      </c>
      <c r="O920" t="n" s="7">
        <v>44196.0</v>
      </c>
      <c r="P920" t="s" s="1">
        <v>3499</v>
      </c>
    </row>
    <row r="921" spans="1:16">
      <c r="A921" t="n" s="4">
        <v>916</v>
      </c>
      <c r="B921" s="2">
        <f>HYPERLINK("https://my.zakupki.prom.ua/remote/dispatcher/state_purchase_view/18864768", "UA-2020-08-28-004180-b")</f>
        <v/>
      </c>
      <c r="C921" t="s" s="2">
        <v>3245</v>
      </c>
      <c r="D921" s="2">
        <f>HYPERLINK("https://my.zakupki.prom.ua/remote/dispatcher/state_contracting_view/5293093", "UA-2020-08-28-004180-b-b1")</f>
        <v/>
      </c>
      <c r="E921" t="s" s="1">
        <v>319</v>
      </c>
      <c r="F921" t="s" s="1">
        <v>2871</v>
      </c>
      <c r="G921" t="s" s="1">
        <v>3482</v>
      </c>
      <c r="H921" t="s" s="1">
        <v>718</v>
      </c>
      <c r="I921" t="s" s="1">
        <v>2361</v>
      </c>
      <c r="J921" t="s" s="1">
        <v>3382</v>
      </c>
      <c r="K921" t="s" s="1">
        <v>955</v>
      </c>
      <c r="L921" t="s" s="1">
        <v>1199</v>
      </c>
      <c r="M921" t="n" s="5">
        <v>151970.0</v>
      </c>
      <c r="N921" t="n" s="7">
        <v>44071.0</v>
      </c>
      <c r="O921" t="n" s="7">
        <v>44196.0</v>
      </c>
      <c r="P921" t="s" s="1">
        <v>3499</v>
      </c>
    </row>
    <row r="922" spans="1:16">
      <c r="A922" t="n" s="4">
        <v>917</v>
      </c>
      <c r="B922" s="2">
        <f>HYPERLINK("https://my.zakupki.prom.ua/remote/dispatcher/state_purchase_view/18989193", "UA-2020-09-03-007055-b")</f>
        <v/>
      </c>
      <c r="C922" t="s" s="2">
        <v>3245</v>
      </c>
      <c r="D922" s="2">
        <f>HYPERLINK("https://my.zakupki.prom.ua/remote/dispatcher/state_contracting_view/5351210", "UA-2020-09-03-007055-b-b1")</f>
        <v/>
      </c>
      <c r="E922" t="s" s="1">
        <v>995</v>
      </c>
      <c r="F922" t="s" s="1">
        <v>2390</v>
      </c>
      <c r="G922" t="s" s="1">
        <v>3522</v>
      </c>
      <c r="H922" t="s" s="1">
        <v>718</v>
      </c>
      <c r="I922" t="s" s="1">
        <v>2361</v>
      </c>
      <c r="J922" t="s" s="1">
        <v>3300</v>
      </c>
      <c r="K922" t="s" s="1">
        <v>593</v>
      </c>
      <c r="L922" t="s" s="1">
        <v>1224</v>
      </c>
      <c r="M922" t="n" s="5">
        <v>827069.35</v>
      </c>
      <c r="N922" t="n" s="7">
        <v>44076.0</v>
      </c>
      <c r="O922" t="n" s="7">
        <v>44196.0</v>
      </c>
      <c r="P922" t="s" s="1">
        <v>3499</v>
      </c>
    </row>
    <row r="923" spans="1:16">
      <c r="A923" t="n" s="4">
        <v>918</v>
      </c>
      <c r="B923" s="2">
        <f>HYPERLINK("https://my.zakupki.prom.ua/remote/dispatcher/state_purchase_view/19041276", "UA-2020-09-07-001000-b")</f>
        <v/>
      </c>
      <c r="C923" t="s" s="2">
        <v>3245</v>
      </c>
      <c r="D923" s="2">
        <f>HYPERLINK("https://my.zakupki.prom.ua/remote/dispatcher/state_contracting_view/5375434", "UA-2020-09-07-001000-b-b1")</f>
        <v/>
      </c>
      <c r="E923" t="s" s="1">
        <v>1972</v>
      </c>
      <c r="F923" t="s" s="1">
        <v>2820</v>
      </c>
      <c r="G923" t="s" s="1">
        <v>2820</v>
      </c>
      <c r="H923" t="s" s="1">
        <v>696</v>
      </c>
      <c r="I923" t="s" s="1">
        <v>2361</v>
      </c>
      <c r="J923" t="s" s="1">
        <v>3401</v>
      </c>
      <c r="K923" t="s" s="1">
        <v>851</v>
      </c>
      <c r="L923" t="s" s="1">
        <v>3226</v>
      </c>
      <c r="M923" t="n" s="5">
        <v>205000.0</v>
      </c>
      <c r="N923" t="n" s="7">
        <v>44078.0</v>
      </c>
      <c r="O923" t="n" s="7">
        <v>44196.0</v>
      </c>
      <c r="P923" t="s" s="1">
        <v>3499</v>
      </c>
    </row>
    <row r="924" spans="1:16">
      <c r="A924" t="n" s="4">
        <v>919</v>
      </c>
      <c r="B924" s="2">
        <f>HYPERLINK("https://my.zakupki.prom.ua/remote/dispatcher/state_purchase_view/18587176", "UA-2020-08-17-003582-a")</f>
        <v/>
      </c>
      <c r="C924" t="s" s="2">
        <v>3245</v>
      </c>
      <c r="D924" s="2">
        <f>HYPERLINK("https://my.zakupki.prom.ua/remote/dispatcher/state_contracting_view/5235503", "UA-2020-08-17-003582-a-a1")</f>
        <v/>
      </c>
      <c r="E924" t="s" s="1">
        <v>7</v>
      </c>
      <c r="F924" t="s" s="1">
        <v>2777</v>
      </c>
      <c r="G924" t="s" s="1">
        <v>2777</v>
      </c>
      <c r="H924" t="s" s="1">
        <v>690</v>
      </c>
      <c r="I924" t="s" s="1">
        <v>3313</v>
      </c>
      <c r="J924" t="s" s="1">
        <v>3392</v>
      </c>
      <c r="K924" t="s" s="1">
        <v>428</v>
      </c>
      <c r="L924" t="s" s="1">
        <v>1165</v>
      </c>
      <c r="M924" t="n" s="5">
        <v>7457.8</v>
      </c>
      <c r="N924" t="n" s="7">
        <v>44068.0</v>
      </c>
      <c r="O924" t="n" s="7">
        <v>44196.0</v>
      </c>
      <c r="P924" t="s" s="1">
        <v>3499</v>
      </c>
    </row>
    <row r="925" spans="1:16">
      <c r="A925" t="n" s="4">
        <v>920</v>
      </c>
      <c r="B925" s="2">
        <f>HYPERLINK("https://my.zakupki.prom.ua/remote/dispatcher/state_purchase_view/21613817", "UA-2020-12-01-007575-b")</f>
        <v/>
      </c>
      <c r="C925" t="s" s="2">
        <v>3245</v>
      </c>
      <c r="D925" s="2">
        <f>HYPERLINK("https://my.zakupki.prom.ua/remote/dispatcher/state_contracting_view/6594553", "UA-2020-12-01-007575-b-b1")</f>
        <v/>
      </c>
      <c r="E925" t="s" s="1">
        <v>2258</v>
      </c>
      <c r="F925" t="s" s="1">
        <v>2660</v>
      </c>
      <c r="G925" t="s" s="1">
        <v>2347</v>
      </c>
      <c r="H925" t="s" s="1">
        <v>444</v>
      </c>
      <c r="I925" t="s" s="1">
        <v>2361</v>
      </c>
      <c r="J925" t="s" s="1">
        <v>3402</v>
      </c>
      <c r="K925" t="s" s="1">
        <v>375</v>
      </c>
      <c r="L925" t="s" s="1">
        <v>798</v>
      </c>
      <c r="M925" t="n" s="5">
        <v>136000.0</v>
      </c>
      <c r="N925" t="n" s="7">
        <v>44166.0</v>
      </c>
      <c r="O925" t="n" s="7">
        <v>44196.0</v>
      </c>
      <c r="P925" t="s" s="1">
        <v>3499</v>
      </c>
    </row>
    <row r="926" spans="1:16">
      <c r="A926" t="n" s="4">
        <v>921</v>
      </c>
      <c r="B926" s="2">
        <f>HYPERLINK("https://my.zakupki.prom.ua/remote/dispatcher/state_purchase_view/22423533", "UA-2020-12-21-001225-c")</f>
        <v/>
      </c>
      <c r="C926" t="s" s="2">
        <v>3245</v>
      </c>
      <c r="D926" s="2">
        <f>HYPERLINK("https://my.zakupki.prom.ua/remote/dispatcher/state_contracting_view/6979538", "UA-2020-12-21-001225-c-c1")</f>
        <v/>
      </c>
      <c r="E926" t="s" s="1">
        <v>98</v>
      </c>
      <c r="F926" t="s" s="1">
        <v>2648</v>
      </c>
      <c r="G926" t="s" s="1">
        <v>2648</v>
      </c>
      <c r="H926" t="s" s="1">
        <v>406</v>
      </c>
      <c r="I926" t="s" s="1">
        <v>2361</v>
      </c>
      <c r="J926" t="s" s="1">
        <v>2340</v>
      </c>
      <c r="K926" t="s" s="1">
        <v>660</v>
      </c>
      <c r="L926" t="s" s="1">
        <v>1478</v>
      </c>
      <c r="M926" t="n" s="5">
        <v>12417.0</v>
      </c>
      <c r="N926" t="n" s="7">
        <v>44183.0</v>
      </c>
      <c r="O926" t="n" s="7">
        <v>44196.0</v>
      </c>
      <c r="P926" t="s" s="1">
        <v>3499</v>
      </c>
    </row>
    <row r="927" spans="1:16">
      <c r="A927" t="n" s="4">
        <v>922</v>
      </c>
      <c r="B927" s="2">
        <f>HYPERLINK("https://my.zakupki.prom.ua/remote/dispatcher/state_purchase_view/21696316", "UA-2020-12-03-003633-b")</f>
        <v/>
      </c>
      <c r="C927" t="s" s="2">
        <v>3245</v>
      </c>
      <c r="D927" s="2">
        <f>HYPERLINK("https://my.zakupki.prom.ua/remote/dispatcher/state_contracting_view/6633034", "UA-2020-12-03-003633-b-b1")</f>
        <v/>
      </c>
      <c r="E927" t="s" s="1">
        <v>1420</v>
      </c>
      <c r="F927" t="s" s="1">
        <v>2504</v>
      </c>
      <c r="G927" t="s" s="1">
        <v>2504</v>
      </c>
      <c r="H927" t="s" s="1">
        <v>38</v>
      </c>
      <c r="I927" t="s" s="1">
        <v>2361</v>
      </c>
      <c r="J927" t="s" s="1">
        <v>3467</v>
      </c>
      <c r="K927" t="s" s="1">
        <v>766</v>
      </c>
      <c r="L927" t="s" s="1">
        <v>1820</v>
      </c>
      <c r="M927" t="n" s="5">
        <v>5040.0</v>
      </c>
      <c r="N927" t="n" s="7">
        <v>44166.0</v>
      </c>
      <c r="O927" t="n" s="7">
        <v>44196.0</v>
      </c>
      <c r="P927" t="s" s="1">
        <v>3499</v>
      </c>
    </row>
    <row r="928" spans="1:16">
      <c r="A928" t="n" s="4">
        <v>923</v>
      </c>
      <c r="B928" s="2">
        <f>HYPERLINK("https://my.zakupki.prom.ua/remote/dispatcher/state_purchase_view/21861029", "UA-2020-12-08-002739-c")</f>
        <v/>
      </c>
      <c r="C928" t="s" s="2">
        <v>3245</v>
      </c>
      <c r="D928" s="2">
        <f>HYPERLINK("https://my.zakupki.prom.ua/remote/dispatcher/state_contracting_view/6712521", "UA-2020-12-08-002739-c-c1")</f>
        <v/>
      </c>
      <c r="E928" t="s" s="1">
        <v>1971</v>
      </c>
      <c r="F928" t="s" s="1">
        <v>3139</v>
      </c>
      <c r="G928" t="s" s="1">
        <v>3139</v>
      </c>
      <c r="H928" t="s" s="1">
        <v>1614</v>
      </c>
      <c r="I928" t="s" s="1">
        <v>2361</v>
      </c>
      <c r="J928" t="s" s="1">
        <v>2319</v>
      </c>
      <c r="K928" t="s" s="1">
        <v>359</v>
      </c>
      <c r="L928" t="s" s="1">
        <v>1102</v>
      </c>
      <c r="M928" t="n" s="5">
        <v>887.39</v>
      </c>
      <c r="N928" t="n" s="7">
        <v>44169.0</v>
      </c>
      <c r="O928" t="n" s="7">
        <v>44196.0</v>
      </c>
      <c r="P928" t="s" s="1">
        <v>3499</v>
      </c>
    </row>
    <row r="929" spans="1:16">
      <c r="A929" t="n" s="4">
        <v>924</v>
      </c>
      <c r="B929" s="2">
        <f>HYPERLINK("https://my.zakupki.prom.ua/remote/dispatcher/state_purchase_view/22585371", "UA-2020-12-23-013437-c")</f>
        <v/>
      </c>
      <c r="C929" t="s" s="2">
        <v>3245</v>
      </c>
      <c r="D929" s="2">
        <f>HYPERLINK("https://my.zakupki.prom.ua/remote/dispatcher/state_contracting_view/7059379", "UA-2020-12-23-013437-c-c1")</f>
        <v/>
      </c>
      <c r="E929" t="s" s="1">
        <v>2193</v>
      </c>
      <c r="F929" t="s" s="1">
        <v>2969</v>
      </c>
      <c r="G929" t="s" s="1">
        <v>2969</v>
      </c>
      <c r="H929" t="s" s="1">
        <v>763</v>
      </c>
      <c r="I929" t="s" s="1">
        <v>2361</v>
      </c>
      <c r="J929" t="s" s="1">
        <v>3460</v>
      </c>
      <c r="K929" t="s" s="1">
        <v>548</v>
      </c>
      <c r="L929" t="s" s="1">
        <v>117</v>
      </c>
      <c r="M929" t="n" s="5">
        <v>344250.0</v>
      </c>
      <c r="N929" t="n" s="7">
        <v>44188.0</v>
      </c>
      <c r="O929" t="n" s="7">
        <v>44196.0</v>
      </c>
      <c r="P929" t="s" s="1">
        <v>3499</v>
      </c>
    </row>
    <row r="930" spans="1:16">
      <c r="A930" t="n" s="4">
        <v>925</v>
      </c>
      <c r="B930" s="2">
        <f>HYPERLINK("https://my.zakupki.prom.ua/remote/dispatcher/state_purchase_view/22586307", "UA-2020-12-23-013807-c")</f>
        <v/>
      </c>
      <c r="C930" t="s" s="2">
        <v>3245</v>
      </c>
      <c r="D930" s="2">
        <f>HYPERLINK("https://my.zakupki.prom.ua/remote/dispatcher/state_contracting_view/7060082", "UA-2020-12-23-013807-c-c1")</f>
        <v/>
      </c>
      <c r="E930" t="s" s="1">
        <v>2014</v>
      </c>
      <c r="F930" t="s" s="1">
        <v>2971</v>
      </c>
      <c r="G930" t="s" s="1">
        <v>2971</v>
      </c>
      <c r="H930" t="s" s="1">
        <v>763</v>
      </c>
      <c r="I930" t="s" s="1">
        <v>2361</v>
      </c>
      <c r="J930" t="s" s="1">
        <v>3461</v>
      </c>
      <c r="K930" t="s" s="1">
        <v>534</v>
      </c>
      <c r="L930" t="s" s="1">
        <v>118</v>
      </c>
      <c r="M930" t="n" s="5">
        <v>23903.0</v>
      </c>
      <c r="N930" t="n" s="7">
        <v>44188.0</v>
      </c>
      <c r="O930" t="n" s="7">
        <v>44196.0</v>
      </c>
      <c r="P930" t="s" s="1">
        <v>3499</v>
      </c>
    </row>
    <row r="931" spans="1:16">
      <c r="A931" t="n" s="4">
        <v>926</v>
      </c>
      <c r="B931" s="2">
        <f>HYPERLINK("https://my.zakupki.prom.ua/remote/dispatcher/state_purchase_view/18043911", "UA-2020-07-22-004851-b")</f>
        <v/>
      </c>
      <c r="C931" t="s" s="2">
        <v>3245</v>
      </c>
      <c r="D931" s="2">
        <f>HYPERLINK("https://my.zakupki.prom.ua/remote/dispatcher/state_contracting_view/4906252", "UA-2020-07-22-004851-b-b1")</f>
        <v/>
      </c>
      <c r="E931" t="s" s="1">
        <v>52</v>
      </c>
      <c r="F931" t="s" s="1">
        <v>2789</v>
      </c>
      <c r="G931" t="s" s="1">
        <v>2789</v>
      </c>
      <c r="H931" t="s" s="1">
        <v>690</v>
      </c>
      <c r="I931" t="s" s="1">
        <v>2361</v>
      </c>
      <c r="J931" t="s" s="1">
        <v>3305</v>
      </c>
      <c r="K931" t="s" s="1">
        <v>530</v>
      </c>
      <c r="L931" t="s" s="1">
        <v>786</v>
      </c>
      <c r="M931" t="n" s="5">
        <v>362.5</v>
      </c>
      <c r="N931" t="n" s="7">
        <v>44033.0</v>
      </c>
      <c r="O931" t="n" s="7">
        <v>44196.0</v>
      </c>
      <c r="P931" t="s" s="1">
        <v>3499</v>
      </c>
    </row>
    <row r="932" spans="1:16">
      <c r="A932" t="n" s="4">
        <v>927</v>
      </c>
      <c r="B932" s="2">
        <f>HYPERLINK("https://my.zakupki.prom.ua/remote/dispatcher/state_purchase_view/17536590", "UA-2020-06-26-006244-a")</f>
        <v/>
      </c>
      <c r="C932" t="s" s="2">
        <v>3245</v>
      </c>
      <c r="D932" s="2">
        <f>HYPERLINK("https://my.zakupki.prom.ua/remote/dispatcher/state_contracting_view/4670557", "UA-2020-06-26-006244-a-a1")</f>
        <v/>
      </c>
      <c r="E932" t="s" s="1">
        <v>95</v>
      </c>
      <c r="F932" t="s" s="1">
        <v>2416</v>
      </c>
      <c r="G932" t="s" s="1">
        <v>2416</v>
      </c>
      <c r="H932" t="s" s="1">
        <v>690</v>
      </c>
      <c r="I932" t="s" s="1">
        <v>2361</v>
      </c>
      <c r="J932" t="s" s="1">
        <v>3402</v>
      </c>
      <c r="K932" t="s" s="1">
        <v>375</v>
      </c>
      <c r="L932" t="s" s="1">
        <v>367</v>
      </c>
      <c r="M932" t="n" s="5">
        <v>12549.0</v>
      </c>
      <c r="N932" t="n" s="7">
        <v>44007.0</v>
      </c>
      <c r="O932" t="n" s="7">
        <v>44196.0</v>
      </c>
      <c r="P932" t="s" s="1">
        <v>3499</v>
      </c>
    </row>
    <row r="933" spans="1:16">
      <c r="A933" t="n" s="4">
        <v>928</v>
      </c>
      <c r="B933" s="2">
        <f>HYPERLINK("https://my.zakupki.prom.ua/remote/dispatcher/state_purchase_view/18097683", "UA-2020-07-24-002923-b")</f>
        <v/>
      </c>
      <c r="C933" t="s" s="2">
        <v>3245</v>
      </c>
      <c r="D933" s="2">
        <f>HYPERLINK("https://my.zakupki.prom.ua/remote/dispatcher/state_contracting_view/4932216", "UA-2020-07-24-002923-b-b1")</f>
        <v/>
      </c>
      <c r="E933" t="s" s="1">
        <v>1586</v>
      </c>
      <c r="F933" t="s" s="1">
        <v>2935</v>
      </c>
      <c r="G933" t="s" s="1">
        <v>2935</v>
      </c>
      <c r="H933" t="s" s="1">
        <v>724</v>
      </c>
      <c r="I933" t="s" s="1">
        <v>2361</v>
      </c>
      <c r="J933" t="s" s="1">
        <v>3392</v>
      </c>
      <c r="K933" t="s" s="1">
        <v>428</v>
      </c>
      <c r="L933" t="s" s="1">
        <v>809</v>
      </c>
      <c r="M933" t="n" s="5">
        <v>1391.79</v>
      </c>
      <c r="N933" t="n" s="7">
        <v>44035.0</v>
      </c>
      <c r="O933" t="n" s="7">
        <v>44196.0</v>
      </c>
      <c r="P933" t="s" s="1">
        <v>3499</v>
      </c>
    </row>
    <row r="934" spans="1:16">
      <c r="A934" t="n" s="4">
        <v>929</v>
      </c>
      <c r="B934" s="2">
        <f>HYPERLINK("https://my.zakupki.prom.ua/remote/dispatcher/state_purchase_view/18201821", "UA-2020-07-29-008130-c")</f>
        <v/>
      </c>
      <c r="C934" t="s" s="2">
        <v>3245</v>
      </c>
      <c r="D934" s="2">
        <f>HYPERLINK("https://my.zakupki.prom.ua/remote/dispatcher/state_contracting_view/4980747", "UA-2020-07-29-008130-c-c1")</f>
        <v/>
      </c>
      <c r="E934" t="s" s="1">
        <v>1958</v>
      </c>
      <c r="F934" t="s" s="1">
        <v>2538</v>
      </c>
      <c r="G934" t="s" s="1">
        <v>2538</v>
      </c>
      <c r="H934" t="s" s="1">
        <v>207</v>
      </c>
      <c r="I934" t="s" s="1">
        <v>2361</v>
      </c>
      <c r="J934" t="s" s="1">
        <v>3467</v>
      </c>
      <c r="K934" t="s" s="1">
        <v>766</v>
      </c>
      <c r="L934" t="s" s="1">
        <v>866</v>
      </c>
      <c r="M934" t="n" s="5">
        <v>15892.92</v>
      </c>
      <c r="N934" t="n" s="7">
        <v>44040.0</v>
      </c>
      <c r="O934" t="n" s="7">
        <v>44196.0</v>
      </c>
      <c r="P934" t="s" s="1">
        <v>3499</v>
      </c>
    </row>
    <row r="935" spans="1:16">
      <c r="A935" t="n" s="4">
        <v>930</v>
      </c>
      <c r="B935" s="2">
        <f>HYPERLINK("https://my.zakupki.prom.ua/remote/dispatcher/state_purchase_view/18181783", "UA-2020-07-29-001058-c")</f>
        <v/>
      </c>
      <c r="C935" t="s" s="2">
        <v>3245</v>
      </c>
      <c r="D935" s="2">
        <f>HYPERLINK("https://my.zakupki.prom.ua/remote/dispatcher/state_contracting_view/4971322", "UA-2020-07-29-001058-c-c1")</f>
        <v/>
      </c>
      <c r="E935" t="s" s="1">
        <v>770</v>
      </c>
      <c r="F935" t="s" s="1">
        <v>2770</v>
      </c>
      <c r="G935" t="s" s="1">
        <v>2770</v>
      </c>
      <c r="H935" t="s" s="1">
        <v>690</v>
      </c>
      <c r="I935" t="s" s="1">
        <v>2361</v>
      </c>
      <c r="J935" t="s" s="1">
        <v>3392</v>
      </c>
      <c r="K935" t="s" s="1">
        <v>428</v>
      </c>
      <c r="L935" t="s" s="1">
        <v>834</v>
      </c>
      <c r="M935" t="n" s="5">
        <v>4034.0</v>
      </c>
      <c r="N935" t="n" s="7">
        <v>44040.0</v>
      </c>
      <c r="O935" t="n" s="7">
        <v>44196.0</v>
      </c>
      <c r="P935" t="s" s="1">
        <v>3499</v>
      </c>
    </row>
    <row r="936" spans="1:16">
      <c r="A936" t="n" s="4">
        <v>931</v>
      </c>
      <c r="B936" s="2">
        <f>HYPERLINK("https://my.zakupki.prom.ua/remote/dispatcher/state_purchase_view/18209094", "UA-2020-07-30-000923-c")</f>
        <v/>
      </c>
      <c r="C936" t="s" s="2">
        <v>3245</v>
      </c>
      <c r="D936" s="2">
        <f>HYPERLINK("https://my.zakupki.prom.ua/remote/dispatcher/state_contracting_view/4984132", "UA-2020-07-30-000923-c-c1")</f>
        <v/>
      </c>
      <c r="E936" t="s" s="1">
        <v>712</v>
      </c>
      <c r="F936" t="s" s="1">
        <v>2558</v>
      </c>
      <c r="G936" t="s" s="1">
        <v>2558</v>
      </c>
      <c r="H936" t="s" s="1">
        <v>216</v>
      </c>
      <c r="I936" t="s" s="1">
        <v>2361</v>
      </c>
      <c r="J936" t="s" s="1">
        <v>3467</v>
      </c>
      <c r="K936" t="s" s="1">
        <v>766</v>
      </c>
      <c r="L936" t="s" s="1">
        <v>919</v>
      </c>
      <c r="M936" t="n" s="5">
        <v>834.9</v>
      </c>
      <c r="N936" t="n" s="7">
        <v>44040.0</v>
      </c>
      <c r="O936" t="n" s="7">
        <v>44196.0</v>
      </c>
      <c r="P936" t="s" s="1">
        <v>3499</v>
      </c>
    </row>
    <row r="937" spans="1:16">
      <c r="A937" t="n" s="4">
        <v>932</v>
      </c>
      <c r="B937" s="2">
        <f>HYPERLINK("https://my.zakupki.prom.ua/remote/dispatcher/state_purchase_view/20208706", "UA-2020-10-19-004016-c")</f>
        <v/>
      </c>
      <c r="C937" t="s" s="2">
        <v>3245</v>
      </c>
      <c r="D937" s="2">
        <f>HYPERLINK("https://my.zakupki.prom.ua/remote/dispatcher/state_contracting_view/5926782", "UA-2020-10-19-004016-c-c1")</f>
        <v/>
      </c>
      <c r="E937" t="s" s="1">
        <v>2108</v>
      </c>
      <c r="F937" t="s" s="1">
        <v>3000</v>
      </c>
      <c r="G937" t="s" s="1">
        <v>3000</v>
      </c>
      <c r="H937" t="s" s="1">
        <v>848</v>
      </c>
      <c r="I937" t="s" s="1">
        <v>2361</v>
      </c>
      <c r="J937" t="s" s="1">
        <v>3467</v>
      </c>
      <c r="K937" t="s" s="1">
        <v>766</v>
      </c>
      <c r="L937" t="s" s="1">
        <v>1543</v>
      </c>
      <c r="M937" t="n" s="5">
        <v>650.0</v>
      </c>
      <c r="N937" t="n" s="7">
        <v>44120.0</v>
      </c>
      <c r="O937" t="n" s="7">
        <v>44196.0</v>
      </c>
      <c r="P937" t="s" s="1">
        <v>3499</v>
      </c>
    </row>
    <row r="938" spans="1:16">
      <c r="A938" t="n" s="4">
        <v>933</v>
      </c>
      <c r="B938" s="2">
        <f>HYPERLINK("https://my.zakupki.prom.ua/remote/dispatcher/state_purchase_view/20070808", "UA-2020-10-13-001604-c")</f>
        <v/>
      </c>
      <c r="C938" t="s" s="2">
        <v>3245</v>
      </c>
      <c r="D938" s="2">
        <f>HYPERLINK("https://my.zakupki.prom.ua/remote/dispatcher/state_contracting_view/5861199", "UA-2020-10-13-001604-c-c1")</f>
        <v/>
      </c>
      <c r="E938" t="s" s="1">
        <v>2267</v>
      </c>
      <c r="F938" t="s" s="1">
        <v>2722</v>
      </c>
      <c r="G938" t="s" s="1">
        <v>2722</v>
      </c>
      <c r="H938" t="s" s="1">
        <v>637</v>
      </c>
      <c r="I938" t="s" s="1">
        <v>2361</v>
      </c>
      <c r="J938" t="s" s="1">
        <v>3420</v>
      </c>
      <c r="K938" t="s" s="1">
        <v>535</v>
      </c>
      <c r="L938" t="s" s="1">
        <v>584</v>
      </c>
      <c r="M938" t="n" s="5">
        <v>835.0</v>
      </c>
      <c r="N938" t="n" s="7">
        <v>44116.0</v>
      </c>
      <c r="O938" t="n" s="7">
        <v>44196.0</v>
      </c>
      <c r="P938" t="s" s="1">
        <v>3499</v>
      </c>
    </row>
    <row r="939" spans="1:16">
      <c r="A939" t="n" s="4">
        <v>934</v>
      </c>
      <c r="B939" s="2">
        <f>HYPERLINK("https://my.zakupki.prom.ua/remote/dispatcher/state_purchase_view/20109975", "UA-2020-10-15-003229-c")</f>
        <v/>
      </c>
      <c r="C939" t="s" s="2">
        <v>3245</v>
      </c>
      <c r="D939" s="2">
        <f>HYPERLINK("https://my.zakupki.prom.ua/remote/dispatcher/state_contracting_view/5880057", "UA-2020-10-15-003229-c-c1")</f>
        <v/>
      </c>
      <c r="E939" t="s" s="1">
        <v>1846</v>
      </c>
      <c r="F939" t="s" s="1">
        <v>2547</v>
      </c>
      <c r="G939" t="s" s="1">
        <v>2547</v>
      </c>
      <c r="H939" t="s" s="1">
        <v>209</v>
      </c>
      <c r="I939" t="s" s="1">
        <v>2361</v>
      </c>
      <c r="J939" t="s" s="1">
        <v>3467</v>
      </c>
      <c r="K939" t="s" s="1">
        <v>766</v>
      </c>
      <c r="L939" t="s" s="1">
        <v>1525</v>
      </c>
      <c r="M939" t="n" s="5">
        <v>7950.0</v>
      </c>
      <c r="N939" t="n" s="7">
        <v>44116.0</v>
      </c>
      <c r="O939" t="n" s="7">
        <v>44196.0</v>
      </c>
      <c r="P939" t="s" s="1">
        <v>3499</v>
      </c>
    </row>
    <row r="940" spans="1:16">
      <c r="A940" t="n" s="4">
        <v>935</v>
      </c>
      <c r="B940" s="2">
        <f>HYPERLINK("https://my.zakupki.prom.ua/remote/dispatcher/state_purchase_view/15484246", "UA-2020-02-26-000821-c")</f>
        <v/>
      </c>
      <c r="C940" t="s" s="2">
        <v>3245</v>
      </c>
      <c r="D940" s="2">
        <f>HYPERLINK("https://my.zakupki.prom.ua/remote/dispatcher/state_contracting_view/3855798", "UA-2020-02-26-000821-c-c1")</f>
        <v/>
      </c>
      <c r="E940" t="s" s="1">
        <v>150</v>
      </c>
      <c r="F940" t="s" s="1">
        <v>691</v>
      </c>
      <c r="G940" t="s" s="1">
        <v>691</v>
      </c>
      <c r="H940" t="s" s="1">
        <v>691</v>
      </c>
      <c r="I940" t="s" s="1">
        <v>2361</v>
      </c>
      <c r="J940" t="s" s="1">
        <v>3392</v>
      </c>
      <c r="K940" t="s" s="1">
        <v>428</v>
      </c>
      <c r="L940" t="s" s="1">
        <v>840</v>
      </c>
      <c r="M940" t="n" s="5">
        <v>10829.73</v>
      </c>
      <c r="N940" t="n" s="7">
        <v>43886.0</v>
      </c>
      <c r="O940" t="n" s="7">
        <v>44196.0</v>
      </c>
      <c r="P940" t="s" s="1">
        <v>3499</v>
      </c>
    </row>
    <row r="941" spans="1:16">
      <c r="A941" t="n" s="4">
        <v>936</v>
      </c>
      <c r="B941" s="2">
        <f>HYPERLINK("https://my.zakupki.prom.ua/remote/dispatcher/state_purchase_view/15394403", "UA-2020-02-20-001586-b")</f>
        <v/>
      </c>
      <c r="C941" t="s" s="2">
        <v>3245</v>
      </c>
      <c r="D941" s="2">
        <f>HYPERLINK("https://my.zakupki.prom.ua/remote/dispatcher/state_contracting_view/3829535", "UA-2020-02-20-001586-b-b1")</f>
        <v/>
      </c>
      <c r="E941" t="s" s="1">
        <v>1794</v>
      </c>
      <c r="F941" t="s" s="1">
        <v>1084</v>
      </c>
      <c r="G941" t="s" s="1">
        <v>1084</v>
      </c>
      <c r="H941" t="s" s="1">
        <v>1084</v>
      </c>
      <c r="I941" t="s" s="1">
        <v>2361</v>
      </c>
      <c r="J941" t="s" s="1">
        <v>3378</v>
      </c>
      <c r="K941" t="s" s="1">
        <v>941</v>
      </c>
      <c r="L941" t="s" s="1">
        <v>685</v>
      </c>
      <c r="M941" t="n" s="5">
        <v>198000.0</v>
      </c>
      <c r="N941" t="n" s="7">
        <v>43881.0</v>
      </c>
      <c r="O941" t="n" s="7">
        <v>44196.0</v>
      </c>
      <c r="P941" t="s" s="1">
        <v>3499</v>
      </c>
    </row>
    <row r="942" spans="1:16">
      <c r="A942" t="n" s="4">
        <v>937</v>
      </c>
      <c r="B942" s="2">
        <f>HYPERLINK("https://my.zakupki.prom.ua/remote/dispatcher/state_purchase_view/15941679", "UA-2020-03-24-004198-b")</f>
        <v/>
      </c>
      <c r="C942" t="s" s="2">
        <v>3245</v>
      </c>
      <c r="D942" s="2">
        <f>HYPERLINK("https://my.zakupki.prom.ua/remote/dispatcher/state_contracting_view/3995149", "UA-2020-03-24-004198-b-b1")</f>
        <v/>
      </c>
      <c r="E942" t="s" s="1">
        <v>1122</v>
      </c>
      <c r="F942" t="s" s="1">
        <v>720</v>
      </c>
      <c r="G942" t="s" s="1">
        <v>720</v>
      </c>
      <c r="H942" t="s" s="1">
        <v>718</v>
      </c>
      <c r="I942" t="s" s="1">
        <v>2361</v>
      </c>
      <c r="J942" t="s" s="1">
        <v>3392</v>
      </c>
      <c r="K942" t="s" s="1">
        <v>428</v>
      </c>
      <c r="L942" t="s" s="1">
        <v>1716</v>
      </c>
      <c r="M942" t="n" s="5">
        <v>42088.16</v>
      </c>
      <c r="N942" t="n" s="7">
        <v>43913.0</v>
      </c>
      <c r="O942" t="n" s="7">
        <v>44196.0</v>
      </c>
      <c r="P942" t="s" s="1">
        <v>3499</v>
      </c>
    </row>
    <row r="943" spans="1:16">
      <c r="A943" t="n" s="4">
        <v>938</v>
      </c>
      <c r="B943" s="2">
        <f>HYPERLINK("https://my.zakupki.prom.ua/remote/dispatcher/state_purchase_view/15692476", "UA-2020-03-11-000842-b")</f>
        <v/>
      </c>
      <c r="C943" t="s" s="2">
        <v>3245</v>
      </c>
      <c r="D943" s="2">
        <f>HYPERLINK("https://my.zakupki.prom.ua/remote/dispatcher/state_contracting_view/3916823", "UA-2020-03-11-000842-b-b1")</f>
        <v/>
      </c>
      <c r="E943" t="s" s="1">
        <v>24</v>
      </c>
      <c r="F943" t="s" s="1">
        <v>3311</v>
      </c>
      <c r="G943" t="s" s="1">
        <v>3311</v>
      </c>
      <c r="H943" t="s" s="1">
        <v>401</v>
      </c>
      <c r="I943" t="s" s="1">
        <v>2361</v>
      </c>
      <c r="J943" t="s" s="1">
        <v>2316</v>
      </c>
      <c r="K943" t="s" s="1">
        <v>768</v>
      </c>
      <c r="L943" t="s" s="1">
        <v>1393</v>
      </c>
      <c r="M943" t="n" s="5">
        <v>13334.5</v>
      </c>
      <c r="N943" t="n" s="7">
        <v>43901.0</v>
      </c>
      <c r="O943" t="n" s="7">
        <v>44196.0</v>
      </c>
      <c r="P943" t="s" s="1">
        <v>3499</v>
      </c>
    </row>
    <row r="944" spans="1:16">
      <c r="A944" t="n" s="4">
        <v>939</v>
      </c>
      <c r="B944" s="2">
        <f>HYPERLINK("https://my.zakupki.prom.ua/remote/dispatcher/state_purchase_view/16906291", "UA-2020-05-27-008676-b")</f>
        <v/>
      </c>
      <c r="C944" t="s" s="2">
        <v>3245</v>
      </c>
      <c r="D944" s="2">
        <f>HYPERLINK("https://my.zakupki.prom.ua/remote/dispatcher/state_contracting_view/4382876", "UA-2020-05-27-008676-b-b1")</f>
        <v/>
      </c>
      <c r="E944" t="s" s="1">
        <v>1545</v>
      </c>
      <c r="F944" t="s" s="1">
        <v>2449</v>
      </c>
      <c r="G944" t="s" s="1">
        <v>3342</v>
      </c>
      <c r="H944" t="s" s="1">
        <v>703</v>
      </c>
      <c r="I944" t="s" s="1">
        <v>2361</v>
      </c>
      <c r="J944" t="s" s="1">
        <v>3392</v>
      </c>
      <c r="K944" t="s" s="1">
        <v>428</v>
      </c>
      <c r="L944" t="s" s="1">
        <v>239</v>
      </c>
      <c r="M944" t="n" s="5">
        <v>9786.15</v>
      </c>
      <c r="N944" t="n" s="7">
        <v>43977.0</v>
      </c>
      <c r="O944" t="n" s="7">
        <v>44196.0</v>
      </c>
      <c r="P944" t="s" s="1">
        <v>3499</v>
      </c>
    </row>
    <row r="945" spans="1:16">
      <c r="A945" t="n" s="4">
        <v>940</v>
      </c>
      <c r="B945" s="2">
        <f>HYPERLINK("https://my.zakupki.prom.ua/remote/dispatcher/state_purchase_view/16887904", "UA-2020-05-27-002403-b")</f>
        <v/>
      </c>
      <c r="C945" t="s" s="2">
        <v>3245</v>
      </c>
      <c r="D945" s="2">
        <f>HYPERLINK("https://my.zakupki.prom.ua/remote/dispatcher/state_contracting_view/4373009", "UA-2020-05-27-002403-b-b1")</f>
        <v/>
      </c>
      <c r="E945" t="s" s="1">
        <v>2085</v>
      </c>
      <c r="F945" t="s" s="1">
        <v>2478</v>
      </c>
      <c r="G945" t="s" s="1">
        <v>2478</v>
      </c>
      <c r="H945" t="s" s="1">
        <v>725</v>
      </c>
      <c r="I945" t="s" s="1">
        <v>2361</v>
      </c>
      <c r="J945" t="s" s="1">
        <v>3402</v>
      </c>
      <c r="K945" t="s" s="1">
        <v>375</v>
      </c>
      <c r="L945" t="s" s="1">
        <v>345</v>
      </c>
      <c r="M945" t="n" s="5">
        <v>12025.9</v>
      </c>
      <c r="N945" t="n" s="7">
        <v>43976.0</v>
      </c>
      <c r="O945" t="n" s="7">
        <v>44196.0</v>
      </c>
      <c r="P945" t="s" s="1">
        <v>3499</v>
      </c>
    </row>
    <row r="946" spans="1:16">
      <c r="A946" t="n" s="4">
        <v>941</v>
      </c>
      <c r="B946" s="2">
        <f>HYPERLINK("https://my.zakupki.prom.ua/remote/dispatcher/state_purchase_view/16970785", "UA-2020-06-01-008689-b")</f>
        <v/>
      </c>
      <c r="C946" t="s" s="2">
        <v>3245</v>
      </c>
      <c r="D946" s="2">
        <f>HYPERLINK("https://my.zakupki.prom.ua/remote/dispatcher/state_contracting_view/4410968", "UA-2020-06-01-008689-b-b1")</f>
        <v/>
      </c>
      <c r="E946" t="s" s="1">
        <v>2240</v>
      </c>
      <c r="F946" t="s" s="1">
        <v>3168</v>
      </c>
      <c r="G946" t="s" s="1">
        <v>3239</v>
      </c>
      <c r="H946" t="s" s="1">
        <v>830</v>
      </c>
      <c r="I946" t="s" s="1">
        <v>2361</v>
      </c>
      <c r="J946" t="s" s="1">
        <v>2357</v>
      </c>
      <c r="K946" t="s" s="1">
        <v>713</v>
      </c>
      <c r="L946" t="s" s="1">
        <v>241</v>
      </c>
      <c r="M946" t="n" s="5">
        <v>217000.0</v>
      </c>
      <c r="N946" t="n" s="7">
        <v>43983.0</v>
      </c>
      <c r="O946" t="n" s="7">
        <v>44196.0</v>
      </c>
      <c r="P946" t="s" s="1">
        <v>3499</v>
      </c>
    </row>
    <row r="947" spans="1:16">
      <c r="A947" t="n" s="4">
        <v>942</v>
      </c>
      <c r="B947" s="2">
        <f>HYPERLINK("https://my.zakupki.prom.ua/remote/dispatcher/state_purchase_view/16171553", "UA-2020-04-08-003308-b")</f>
        <v/>
      </c>
      <c r="C947" t="s" s="2">
        <v>3245</v>
      </c>
      <c r="D947" s="2">
        <f>HYPERLINK("https://my.zakupki.prom.ua/remote/dispatcher/state_contracting_view/4076238", "UA-2020-04-08-003308-b-b1")</f>
        <v/>
      </c>
      <c r="E947" t="s" s="1">
        <v>658</v>
      </c>
      <c r="F947" t="s" s="1">
        <v>2315</v>
      </c>
      <c r="G947" t="s" s="1">
        <v>2315</v>
      </c>
      <c r="H947" t="s" s="1">
        <v>873</v>
      </c>
      <c r="I947" t="s" s="1">
        <v>2361</v>
      </c>
      <c r="J947" t="s" s="1">
        <v>3433</v>
      </c>
      <c r="K947" t="s" s="1">
        <v>539</v>
      </c>
      <c r="L947" t="s" s="1">
        <v>103</v>
      </c>
      <c r="M947" t="n" s="5">
        <v>7231.0</v>
      </c>
      <c r="N947" t="n" s="7">
        <v>43929.0</v>
      </c>
      <c r="O947" t="n" s="7">
        <v>44196.0</v>
      </c>
      <c r="P947" t="s" s="1">
        <v>3499</v>
      </c>
    </row>
    <row r="948" spans="1:16">
      <c r="A948" t="n" s="4">
        <v>943</v>
      </c>
      <c r="B948" s="2">
        <f>HYPERLINK("https://my.zakupki.prom.ua/remote/dispatcher/state_purchase_view/16284412", "UA-2020-04-15-000381-b")</f>
        <v/>
      </c>
      <c r="C948" t="s" s="2">
        <v>3245</v>
      </c>
      <c r="D948" s="2">
        <f>HYPERLINK("https://my.zakupki.prom.ua/remote/dispatcher/state_contracting_view/4114627", "UA-2020-04-15-000381-b-b1")</f>
        <v/>
      </c>
      <c r="E948" t="s" s="1">
        <v>2060</v>
      </c>
      <c r="F948" t="s" s="1">
        <v>1497</v>
      </c>
      <c r="G948" t="s" s="1">
        <v>3169</v>
      </c>
      <c r="H948" t="s" s="1">
        <v>1496</v>
      </c>
      <c r="I948" t="s" s="1">
        <v>2361</v>
      </c>
      <c r="J948" t="s" s="1">
        <v>3207</v>
      </c>
      <c r="K948" t="s" s="1">
        <v>475</v>
      </c>
      <c r="L948" t="s" s="1">
        <v>47</v>
      </c>
      <c r="M948" t="n" s="5">
        <v>2701.37</v>
      </c>
      <c r="N948" t="n" s="7">
        <v>43936.0</v>
      </c>
      <c r="O948" t="n" s="7">
        <v>44196.0</v>
      </c>
      <c r="P948" t="s" s="1">
        <v>3499</v>
      </c>
    </row>
    <row r="949" spans="1:16">
      <c r="A949" t="n" s="4">
        <v>944</v>
      </c>
      <c r="B949" s="2">
        <f>HYPERLINK("https://my.zakupki.prom.ua/remote/dispatcher/state_purchase_view/16494583", "UA-2020-04-28-002114-b")</f>
        <v/>
      </c>
      <c r="C949" t="s" s="2">
        <v>3245</v>
      </c>
      <c r="D949" s="2">
        <f>HYPERLINK("https://my.zakupki.prom.ua/remote/dispatcher/state_contracting_view/4199703", "UA-2020-04-28-002114-b-b1")</f>
        <v/>
      </c>
      <c r="E949" t="s" s="1">
        <v>1588</v>
      </c>
      <c r="F949" t="s" s="1">
        <v>2331</v>
      </c>
      <c r="G949" t="s" s="1">
        <v>3343</v>
      </c>
      <c r="H949" t="s" s="1">
        <v>703</v>
      </c>
      <c r="I949" t="s" s="1">
        <v>2361</v>
      </c>
      <c r="J949" t="s" s="1">
        <v>3392</v>
      </c>
      <c r="K949" t="s" s="1">
        <v>428</v>
      </c>
      <c r="L949" t="s" s="1">
        <v>176</v>
      </c>
      <c r="M949" t="n" s="5">
        <v>32098.0</v>
      </c>
      <c r="N949" t="n" s="7">
        <v>43949.0</v>
      </c>
      <c r="O949" t="n" s="7">
        <v>44196.0</v>
      </c>
      <c r="P949" t="s" s="1">
        <v>3499</v>
      </c>
    </row>
    <row r="950" spans="1:16">
      <c r="A950" t="n" s="4">
        <v>945</v>
      </c>
      <c r="B950" s="2">
        <f>HYPERLINK("https://my.zakupki.prom.ua/remote/dispatcher/state_purchase_view/15138003", "UA-2020-02-06-002856-b")</f>
        <v/>
      </c>
      <c r="C950" t="s" s="2">
        <v>3245</v>
      </c>
      <c r="D950" s="2">
        <f>HYPERLINK("https://my.zakupki.prom.ua/remote/dispatcher/state_contracting_view/3762112", "UA-2020-02-06-002856-b-b1")</f>
        <v/>
      </c>
      <c r="E950" t="s" s="1">
        <v>2055</v>
      </c>
      <c r="F950" t="s" s="1">
        <v>439</v>
      </c>
      <c r="G950" t="s" s="1">
        <v>1</v>
      </c>
      <c r="H950" t="s" s="1">
        <v>438</v>
      </c>
      <c r="I950" t="s" s="1">
        <v>2361</v>
      </c>
      <c r="J950" t="s" s="1">
        <v>2286</v>
      </c>
      <c r="K950" t="s" s="1">
        <v>54</v>
      </c>
      <c r="L950" t="s" s="1">
        <v>256</v>
      </c>
      <c r="M950" t="n" s="5">
        <v>22000.0</v>
      </c>
      <c r="N950" t="n" s="7">
        <v>43867.0</v>
      </c>
      <c r="O950" t="n" s="7">
        <v>44196.0</v>
      </c>
      <c r="P950" t="s" s="1">
        <v>3499</v>
      </c>
    </row>
    <row r="951" spans="1:16">
      <c r="A951" t="n" s="4">
        <v>946</v>
      </c>
      <c r="B951" s="2">
        <f>HYPERLINK("https://my.zakupki.prom.ua/remote/dispatcher/state_purchase_view/17221382", "UA-2020-06-12-009768-c")</f>
        <v/>
      </c>
      <c r="C951" t="s" s="2">
        <v>3245</v>
      </c>
      <c r="D951" s="2">
        <f>HYPERLINK("https://my.zakupki.prom.ua/remote/dispatcher/state_contracting_view/4524427", "UA-2020-06-12-009768-c-c1")</f>
        <v/>
      </c>
      <c r="E951" t="s" s="1">
        <v>1243</v>
      </c>
      <c r="F951" t="s" s="1">
        <v>2412</v>
      </c>
      <c r="G951" t="s" s="1">
        <v>3340</v>
      </c>
      <c r="H951" t="s" s="1">
        <v>690</v>
      </c>
      <c r="I951" t="s" s="1">
        <v>2361</v>
      </c>
      <c r="J951" t="s" s="1">
        <v>3392</v>
      </c>
      <c r="K951" t="s" s="1">
        <v>428</v>
      </c>
      <c r="L951" t="s" s="1">
        <v>280</v>
      </c>
      <c r="M951" t="n" s="5">
        <v>11440.0</v>
      </c>
      <c r="N951" t="n" s="7">
        <v>43993.0</v>
      </c>
      <c r="O951" t="n" s="7">
        <v>44196.0</v>
      </c>
      <c r="P951" t="s" s="1">
        <v>3499</v>
      </c>
    </row>
    <row r="952" spans="1:16">
      <c r="A952" t="n" s="4">
        <v>947</v>
      </c>
      <c r="B952" s="2">
        <f>HYPERLINK("https://my.zakupki.prom.ua/remote/dispatcher/state_purchase_view/17505883", "UA-2020-06-25-006396-a")</f>
        <v/>
      </c>
      <c r="C952" t="s" s="2">
        <v>3245</v>
      </c>
      <c r="D952" s="2">
        <f>HYPERLINK("https://my.zakupki.prom.ua/remote/dispatcher/state_contracting_view/4655737", "UA-2020-06-25-006396-a-a1")</f>
        <v/>
      </c>
      <c r="E952" t="s" s="1">
        <v>355</v>
      </c>
      <c r="F952" t="s" s="1">
        <v>2417</v>
      </c>
      <c r="G952" t="s" s="1">
        <v>2418</v>
      </c>
      <c r="H952" t="s" s="1">
        <v>697</v>
      </c>
      <c r="I952" t="s" s="1">
        <v>2361</v>
      </c>
      <c r="J952" t="s" s="1">
        <v>3444</v>
      </c>
      <c r="K952" t="s" s="1">
        <v>283</v>
      </c>
      <c r="L952" t="s" s="1">
        <v>3210</v>
      </c>
      <c r="M952" t="n" s="5">
        <v>21850.0</v>
      </c>
      <c r="N952" t="n" s="7">
        <v>44006.0</v>
      </c>
      <c r="O952" t="n" s="7">
        <v>44196.0</v>
      </c>
      <c r="P952" t="s" s="1">
        <v>3499</v>
      </c>
    </row>
    <row r="953" spans="1:16">
      <c r="A953" t="n" s="4">
        <v>948</v>
      </c>
      <c r="B953" s="2">
        <f>HYPERLINK("https://my.zakupki.prom.ua/remote/dispatcher/state_purchase_view/21423439", "UA-2020-11-25-005884-c")</f>
        <v/>
      </c>
      <c r="C953" t="s" s="2">
        <v>3245</v>
      </c>
      <c r="D953" s="2">
        <f>HYPERLINK("https://my.zakupki.prom.ua/remote/dispatcher/state_contracting_view/6505087", "UA-2020-11-25-005884-c-c1")</f>
        <v/>
      </c>
      <c r="E953" t="s" s="1">
        <v>883</v>
      </c>
      <c r="F953" t="s" s="1">
        <v>2646</v>
      </c>
      <c r="G953" t="s" s="1">
        <v>2646</v>
      </c>
      <c r="H953" t="s" s="1">
        <v>406</v>
      </c>
      <c r="I953" t="s" s="1">
        <v>2361</v>
      </c>
      <c r="J953" t="s" s="1">
        <v>2340</v>
      </c>
      <c r="K953" t="s" s="1">
        <v>660</v>
      </c>
      <c r="L953" t="s" s="1">
        <v>1304</v>
      </c>
      <c r="M953" t="n" s="5">
        <v>2913.0</v>
      </c>
      <c r="N953" t="n" s="7">
        <v>44160.0</v>
      </c>
      <c r="O953" t="n" s="7">
        <v>44196.0</v>
      </c>
      <c r="P953" t="s" s="1">
        <v>3499</v>
      </c>
    </row>
    <row r="954" spans="1:16">
      <c r="A954" t="n" s="4">
        <v>949</v>
      </c>
      <c r="B954" s="2">
        <f>HYPERLINK("https://my.zakupki.prom.ua/remote/dispatcher/state_purchase_view/22556040", "UA-2020-12-23-002475-c")</f>
        <v/>
      </c>
      <c r="C954" t="s" s="2">
        <v>3245</v>
      </c>
      <c r="D954" s="2">
        <f>HYPERLINK("https://my.zakupki.prom.ua/remote/dispatcher/state_contracting_view/7044959", "UA-2020-12-23-002475-c-c1")</f>
        <v/>
      </c>
      <c r="E954" t="s" s="1">
        <v>1460</v>
      </c>
      <c r="F954" t="s" s="1">
        <v>3102</v>
      </c>
      <c r="G954" t="s" s="1">
        <v>3102</v>
      </c>
      <c r="H954" t="s" s="1">
        <v>1148</v>
      </c>
      <c r="I954" t="s" s="1">
        <v>2361</v>
      </c>
      <c r="J954" t="s" s="1">
        <v>2320</v>
      </c>
      <c r="K954" t="s" s="1">
        <v>50</v>
      </c>
      <c r="L954" t="s" s="1">
        <v>348</v>
      </c>
      <c r="M954" t="n" s="5">
        <v>13861.2</v>
      </c>
      <c r="N954" t="n" s="7">
        <v>44188.0</v>
      </c>
      <c r="O954" t="n" s="7">
        <v>44196.0</v>
      </c>
      <c r="P954" t="s" s="1">
        <v>3499</v>
      </c>
    </row>
    <row r="955" spans="1:16">
      <c r="A955" t="n" s="4">
        <v>950</v>
      </c>
      <c r="B955" s="2">
        <f>HYPERLINK("https://my.zakupki.prom.ua/remote/dispatcher/state_purchase_view/22764120", "UA-2020-12-29-004843-a")</f>
        <v/>
      </c>
      <c r="C955" t="s" s="2">
        <v>3245</v>
      </c>
      <c r="D955" s="2">
        <f>HYPERLINK("https://my.zakupki.prom.ua/remote/dispatcher/state_contracting_view/7146307", "UA-2020-12-29-004843-a-a1")</f>
        <v/>
      </c>
      <c r="E955" t="s" s="1">
        <v>1907</v>
      </c>
      <c r="F955" t="s" s="1">
        <v>3122</v>
      </c>
      <c r="G955" t="s" s="1">
        <v>3122</v>
      </c>
      <c r="H955" t="s" s="1">
        <v>1496</v>
      </c>
      <c r="I955" t="s" s="1">
        <v>2361</v>
      </c>
      <c r="J955" t="s" s="1">
        <v>2294</v>
      </c>
      <c r="K955" t="s" s="1">
        <v>288</v>
      </c>
      <c r="L955" t="s" s="1">
        <v>22</v>
      </c>
      <c r="M955" t="n" s="5">
        <v>2763.0</v>
      </c>
      <c r="N955" t="n" s="7">
        <v>44194.0</v>
      </c>
      <c r="O955" t="n" s="7">
        <v>44196.0</v>
      </c>
      <c r="P955" t="s" s="1">
        <v>3499</v>
      </c>
    </row>
    <row r="956" spans="1:16">
      <c r="A956" t="n" s="4">
        <v>951</v>
      </c>
      <c r="B956" s="2">
        <f>HYPERLINK("https://my.zakupki.prom.ua/remote/dispatcher/state_purchase_view/22772037", "UA-2020-12-29-007070-a")</f>
        <v/>
      </c>
      <c r="C956" t="s" s="2">
        <v>3245</v>
      </c>
      <c r="D956" s="2">
        <f>HYPERLINK("https://my.zakupki.prom.ua/remote/dispatcher/state_contracting_view/7149685", "UA-2020-12-29-007070-a-a1")</f>
        <v/>
      </c>
      <c r="E956" t="s" s="1">
        <v>2238</v>
      </c>
      <c r="F956" t="s" s="1">
        <v>2789</v>
      </c>
      <c r="G956" t="s" s="1">
        <v>2789</v>
      </c>
      <c r="H956" t="s" s="1">
        <v>690</v>
      </c>
      <c r="I956" t="s" s="1">
        <v>2361</v>
      </c>
      <c r="J956" t="s" s="1">
        <v>3467</v>
      </c>
      <c r="K956" t="s" s="1">
        <v>766</v>
      </c>
      <c r="L956" t="s" s="1">
        <v>132</v>
      </c>
      <c r="M956" t="n" s="5">
        <v>750.0</v>
      </c>
      <c r="N956" t="n" s="7">
        <v>44193.0</v>
      </c>
      <c r="O956" t="n" s="7">
        <v>44196.0</v>
      </c>
      <c r="P956" t="s" s="1">
        <v>3499</v>
      </c>
    </row>
    <row r="957" spans="1:16">
      <c r="A957" t="n" s="4">
        <v>952</v>
      </c>
      <c r="B957" s="2">
        <f>HYPERLINK("https://my.zakupki.prom.ua/remote/dispatcher/state_purchase_view/15099447", "UA-2020-02-05-001818-b")</f>
        <v/>
      </c>
      <c r="C957" t="s" s="2">
        <v>3245</v>
      </c>
      <c r="D957" s="2">
        <f>HYPERLINK("https://my.zakupki.prom.ua/remote/dispatcher/state_contracting_view/3753024", "UA-2020-02-05-001818-b-b1")</f>
        <v/>
      </c>
      <c r="E957" t="s" s="1">
        <v>321</v>
      </c>
      <c r="F957" t="s" s="1">
        <v>1669</v>
      </c>
      <c r="G957" t="s" s="1">
        <v>1669</v>
      </c>
      <c r="H957" t="s" s="1">
        <v>1668</v>
      </c>
      <c r="I957" t="s" s="1">
        <v>2361</v>
      </c>
      <c r="J957" t="s" s="1">
        <v>3376</v>
      </c>
      <c r="K957" t="s" s="1">
        <v>846</v>
      </c>
      <c r="L957" t="s" s="1">
        <v>284</v>
      </c>
      <c r="M957" t="n" s="5">
        <v>179000.0</v>
      </c>
      <c r="N957" t="n" s="7">
        <v>43866.0</v>
      </c>
      <c r="O957" t="n" s="7">
        <v>44196.0</v>
      </c>
      <c r="P957" t="s" s="1">
        <v>3499</v>
      </c>
    </row>
    <row r="958" spans="1:16">
      <c r="A958" t="n" s="4">
        <v>953</v>
      </c>
      <c r="B958" s="2">
        <f>HYPERLINK("https://my.zakupki.prom.ua/remote/dispatcher/state_purchase_view/14967146", "UA-2020-01-30-002297-c")</f>
        <v/>
      </c>
      <c r="C958" t="s" s="2">
        <v>3245</v>
      </c>
      <c r="D958" s="2">
        <f>HYPERLINK("https://my.zakupki.prom.ua/remote/dispatcher/state_contracting_view/3720797", "UA-2020-01-30-002297-c-c1")</f>
        <v/>
      </c>
      <c r="E958" t="s" s="1">
        <v>1714</v>
      </c>
      <c r="F958" t="s" s="1">
        <v>1583</v>
      </c>
      <c r="G958" t="s" s="1">
        <v>3318</v>
      </c>
      <c r="H958" t="s" s="1">
        <v>1583</v>
      </c>
      <c r="I958" t="s" s="1">
        <v>2361</v>
      </c>
      <c r="J958" t="s" s="1">
        <v>3427</v>
      </c>
      <c r="K958" t="s" s="1">
        <v>921</v>
      </c>
      <c r="L958" t="s" s="1">
        <v>399</v>
      </c>
      <c r="M958" t="n" s="5">
        <v>7200.0</v>
      </c>
      <c r="N958" t="n" s="7">
        <v>43860.0</v>
      </c>
      <c r="O958" t="n" s="7">
        <v>44196.0</v>
      </c>
      <c r="P958" t="s" s="1">
        <v>3499</v>
      </c>
    </row>
    <row r="959" spans="1:16">
      <c r="A959" t="n" s="4">
        <v>954</v>
      </c>
      <c r="B959" s="2">
        <f>HYPERLINK("https://my.zakupki.prom.ua/remote/dispatcher/state_purchase_view/14849133", "UA-2020-01-27-001339-a")</f>
        <v/>
      </c>
      <c r="C959" t="s" s="2">
        <v>3245</v>
      </c>
      <c r="D959" s="2">
        <f>HYPERLINK("https://my.zakupki.prom.ua/remote/dispatcher/state_contracting_view/3692091", "UA-2020-01-27-001339-a-a1")</f>
        <v/>
      </c>
      <c r="E959" t="s" s="1">
        <v>2249</v>
      </c>
      <c r="F959" t="s" s="1">
        <v>1307</v>
      </c>
      <c r="G959" t="s" s="1">
        <v>2351</v>
      </c>
      <c r="H959" t="s" s="1">
        <v>1307</v>
      </c>
      <c r="I959" t="s" s="1">
        <v>2361</v>
      </c>
      <c r="J959" t="s" s="1">
        <v>3388</v>
      </c>
      <c r="K959" t="s" s="1">
        <v>632</v>
      </c>
      <c r="L959" t="s" s="1">
        <v>586</v>
      </c>
      <c r="M959" t="n" s="5">
        <v>882.0</v>
      </c>
      <c r="N959" t="n" s="7">
        <v>43857.0</v>
      </c>
      <c r="O959" t="n" s="7">
        <v>44196.0</v>
      </c>
      <c r="P959" t="s" s="1">
        <v>3499</v>
      </c>
    </row>
    <row r="960" spans="1:16">
      <c r="A960" t="n" s="4">
        <v>955</v>
      </c>
      <c r="B960" s="2">
        <f>HYPERLINK("https://my.zakupki.prom.ua/remote/dispatcher/state_purchase_view/15888740", "UA-2020-03-20-003707-b")</f>
        <v/>
      </c>
      <c r="C960" t="s" s="2">
        <v>3245</v>
      </c>
      <c r="D960" s="2">
        <f>HYPERLINK("https://my.zakupki.prom.ua/remote/dispatcher/state_contracting_view/3977403", "UA-2020-03-20-003707-b-b1")</f>
        <v/>
      </c>
      <c r="E960" t="s" s="1">
        <v>1990</v>
      </c>
      <c r="F960" t="s" s="1">
        <v>718</v>
      </c>
      <c r="G960" t="s" s="1">
        <v>718</v>
      </c>
      <c r="H960" t="s" s="1">
        <v>718</v>
      </c>
      <c r="I960" t="s" s="1">
        <v>2361</v>
      </c>
      <c r="J960" t="s" s="1">
        <v>3392</v>
      </c>
      <c r="K960" t="s" s="1">
        <v>428</v>
      </c>
      <c r="L960" t="s" s="1">
        <v>1655</v>
      </c>
      <c r="M960" t="n" s="5">
        <v>15314.34</v>
      </c>
      <c r="N960" t="n" s="7">
        <v>43910.0</v>
      </c>
      <c r="O960" t="n" s="7">
        <v>44196.0</v>
      </c>
      <c r="P960" t="s" s="1">
        <v>3499</v>
      </c>
    </row>
    <row r="961" spans="1:16">
      <c r="A961" t="n" s="4">
        <v>956</v>
      </c>
      <c r="B961" s="2">
        <f>HYPERLINK("https://my.zakupki.prom.ua/remote/dispatcher/state_purchase_view/16005698", "UA-2020-03-27-002482-b")</f>
        <v/>
      </c>
      <c r="C961" t="s" s="2">
        <v>3245</v>
      </c>
      <c r="D961" s="2">
        <f>HYPERLINK("https://my.zakupki.prom.ua/remote/dispatcher/state_contracting_view/4017021", "UA-2020-03-27-002482-b-b1")</f>
        <v/>
      </c>
      <c r="E961" t="s" s="1">
        <v>2172</v>
      </c>
      <c r="F961" t="s" s="1">
        <v>2309</v>
      </c>
      <c r="G961" t="s" s="1">
        <v>2309</v>
      </c>
      <c r="H961" t="s" s="1">
        <v>732</v>
      </c>
      <c r="I961" t="s" s="1">
        <v>2361</v>
      </c>
      <c r="J961" t="s" s="1">
        <v>3392</v>
      </c>
      <c r="K961" t="s" s="1">
        <v>428</v>
      </c>
      <c r="L961" t="s" s="1">
        <v>1829</v>
      </c>
      <c r="M961" t="n" s="5">
        <v>1280.05</v>
      </c>
      <c r="N961" t="n" s="7">
        <v>43916.0</v>
      </c>
      <c r="O961" t="n" s="7">
        <v>44196.0</v>
      </c>
      <c r="P961" t="s" s="1">
        <v>3499</v>
      </c>
    </row>
    <row r="962" spans="1:16">
      <c r="A962" t="n" s="4">
        <v>957</v>
      </c>
      <c r="B962" s="2">
        <f>HYPERLINK("https://my.zakupki.prom.ua/remote/dispatcher/state_purchase_view/16179823", "UA-2020-04-09-000523-b")</f>
        <v/>
      </c>
      <c r="C962" t="s" s="2">
        <v>3245</v>
      </c>
      <c r="D962" s="2">
        <f>HYPERLINK("https://my.zakupki.prom.ua/remote/dispatcher/state_contracting_view/4078032", "UA-2020-04-09-000523-b-b1")</f>
        <v/>
      </c>
      <c r="E962" t="s" s="1">
        <v>881</v>
      </c>
      <c r="F962" t="s" s="1">
        <v>3324</v>
      </c>
      <c r="G962" t="s" s="1">
        <v>3322</v>
      </c>
      <c r="H962" t="s" s="1">
        <v>1379</v>
      </c>
      <c r="I962" t="s" s="1">
        <v>2361</v>
      </c>
      <c r="J962" t="s" s="1">
        <v>2372</v>
      </c>
      <c r="K962" t="s" s="1">
        <v>40</v>
      </c>
      <c r="L962" t="s" s="1">
        <v>606</v>
      </c>
      <c r="M962" t="n" s="5">
        <v>269600.0</v>
      </c>
      <c r="N962" t="n" s="7">
        <v>43930.0</v>
      </c>
      <c r="O962" t="n" s="7">
        <v>44196.0</v>
      </c>
      <c r="P962" t="s" s="1">
        <v>3499</v>
      </c>
    </row>
    <row r="963" spans="1:16">
      <c r="A963" t="n" s="4">
        <v>958</v>
      </c>
      <c r="B963" s="2">
        <f>HYPERLINK("https://my.zakupki.prom.ua/remote/dispatcher/state_purchase_view/18789346", "UA-2020-08-26-003425-a")</f>
        <v/>
      </c>
      <c r="C963" t="s" s="2">
        <v>3245</v>
      </c>
      <c r="D963" s="2">
        <f>HYPERLINK("https://my.zakupki.prom.ua/remote/dispatcher/state_contracting_view/5256724", "UA-2020-08-26-003425-a-a1")</f>
        <v/>
      </c>
      <c r="E963" t="s" s="1">
        <v>1985</v>
      </c>
      <c r="F963" t="s" s="1">
        <v>2544</v>
      </c>
      <c r="G963" t="s" s="1">
        <v>2544</v>
      </c>
      <c r="H963" t="s" s="1">
        <v>207</v>
      </c>
      <c r="I963" t="s" s="1">
        <v>2361</v>
      </c>
      <c r="J963" t="s" s="1">
        <v>3467</v>
      </c>
      <c r="K963" t="s" s="1">
        <v>766</v>
      </c>
      <c r="L963" t="s" s="1">
        <v>1177</v>
      </c>
      <c r="M963" t="n" s="5">
        <v>16953.0</v>
      </c>
      <c r="N963" t="n" s="7">
        <v>44068.0</v>
      </c>
      <c r="O963" t="n" s="7">
        <v>44196.0</v>
      </c>
      <c r="P963" t="s" s="1">
        <v>3499</v>
      </c>
    </row>
    <row r="964" spans="1:16">
      <c r="A964" t="n" s="4">
        <v>959</v>
      </c>
      <c r="B964" s="2">
        <f>HYPERLINK("https://my.zakupki.prom.ua/remote/dispatcher/state_purchase_view/19114686", "UA-2020-09-09-001042-b")</f>
        <v/>
      </c>
      <c r="C964" t="s" s="2">
        <v>3245</v>
      </c>
      <c r="D964" s="2">
        <f>HYPERLINK("https://my.zakupki.prom.ua/remote/dispatcher/state_contracting_view/5410656", "UA-2020-09-09-001042-b-b1")</f>
        <v/>
      </c>
      <c r="E964" t="s" s="1">
        <v>1388</v>
      </c>
      <c r="F964" t="s" s="1">
        <v>2547</v>
      </c>
      <c r="G964" t="s" s="1">
        <v>2547</v>
      </c>
      <c r="H964" t="s" s="1">
        <v>209</v>
      </c>
      <c r="I964" t="s" s="1">
        <v>2361</v>
      </c>
      <c r="J964" t="s" s="1">
        <v>3467</v>
      </c>
      <c r="K964" t="s" s="1">
        <v>766</v>
      </c>
      <c r="L964" t="s" s="1">
        <v>1250</v>
      </c>
      <c r="M964" t="n" s="5">
        <v>3995.0</v>
      </c>
      <c r="N964" t="n" s="7">
        <v>44081.0</v>
      </c>
      <c r="O964" t="n" s="7">
        <v>44196.0</v>
      </c>
      <c r="P964" t="s" s="1">
        <v>3499</v>
      </c>
    </row>
    <row r="965" spans="1:16">
      <c r="A965" t="n" s="4">
        <v>960</v>
      </c>
      <c r="B965" s="2">
        <f>HYPERLINK("https://my.zakupki.prom.ua/remote/dispatcher/state_purchase_view/18931126", "UA-2020-09-02-000982-b")</f>
        <v/>
      </c>
      <c r="C965" t="s" s="2">
        <v>3245</v>
      </c>
      <c r="D965" s="2">
        <f>HYPERLINK("https://my.zakupki.prom.ua/remote/dispatcher/state_contracting_view/5323863", "UA-2020-09-02-000982-b-b1")</f>
        <v/>
      </c>
      <c r="E965" t="s" s="1">
        <v>574</v>
      </c>
      <c r="F965" t="s" s="1">
        <v>2812</v>
      </c>
      <c r="G965" t="s" s="1">
        <v>2812</v>
      </c>
      <c r="H965" t="s" s="1">
        <v>690</v>
      </c>
      <c r="I965" t="s" s="1">
        <v>2361</v>
      </c>
      <c r="J965" t="s" s="1">
        <v>3392</v>
      </c>
      <c r="K965" t="s" s="1">
        <v>428</v>
      </c>
      <c r="L965" t="s" s="1">
        <v>1204</v>
      </c>
      <c r="M965" t="n" s="5">
        <v>15201.8</v>
      </c>
      <c r="N965" t="n" s="7">
        <v>44076.0</v>
      </c>
      <c r="O965" t="n" s="7">
        <v>44196.0</v>
      </c>
      <c r="P965" t="s" s="1">
        <v>3499</v>
      </c>
    </row>
    <row r="966" spans="1:16">
      <c r="A966" t="n" s="4">
        <v>961</v>
      </c>
      <c r="B966" s="2">
        <f>HYPERLINK("https://my.zakupki.prom.ua/remote/dispatcher/state_purchase_view/18647001", "UA-2020-08-19-001545-a")</f>
        <v/>
      </c>
      <c r="C966" t="s" s="2">
        <v>3245</v>
      </c>
      <c r="D966" s="2">
        <f>HYPERLINK("https://my.zakupki.prom.ua/remote/dispatcher/state_contracting_view/5187730", "UA-2020-08-19-001545-a-a1")</f>
        <v/>
      </c>
      <c r="E966" t="s" s="1">
        <v>1815</v>
      </c>
      <c r="F966" t="s" s="1">
        <v>2504</v>
      </c>
      <c r="G966" t="s" s="1">
        <v>2504</v>
      </c>
      <c r="H966" t="s" s="1">
        <v>38</v>
      </c>
      <c r="I966" t="s" s="1">
        <v>2361</v>
      </c>
      <c r="J966" t="s" s="1">
        <v>3467</v>
      </c>
      <c r="K966" t="s" s="1">
        <v>766</v>
      </c>
      <c r="L966" t="s" s="1">
        <v>1143</v>
      </c>
      <c r="M966" t="n" s="5">
        <v>648.0</v>
      </c>
      <c r="N966" t="n" s="7">
        <v>44060.0</v>
      </c>
      <c r="O966" t="n" s="7">
        <v>44196.0</v>
      </c>
      <c r="P966" t="s" s="1">
        <v>3499</v>
      </c>
    </row>
    <row r="967" spans="1:16">
      <c r="A967" t="n" s="4">
        <v>962</v>
      </c>
      <c r="B967" s="2">
        <f>HYPERLINK("https://my.zakupki.prom.ua/remote/dispatcher/state_purchase_view/18849372", "UA-2020-08-28-001326-c")</f>
        <v/>
      </c>
      <c r="C967" t="s" s="2">
        <v>3245</v>
      </c>
      <c r="D967" s="2">
        <f>HYPERLINK("https://my.zakupki.prom.ua/remote/dispatcher/state_contracting_view/5285638", "UA-2020-08-28-001326-c-c1")</f>
        <v/>
      </c>
      <c r="E967" t="s" s="1">
        <v>575</v>
      </c>
      <c r="F967" t="s" s="1">
        <v>2909</v>
      </c>
      <c r="G967" t="s" s="1">
        <v>2909</v>
      </c>
      <c r="H967" t="s" s="1">
        <v>718</v>
      </c>
      <c r="I967" t="s" s="1">
        <v>2361</v>
      </c>
      <c r="J967" t="s" s="1">
        <v>3392</v>
      </c>
      <c r="K967" t="s" s="1">
        <v>428</v>
      </c>
      <c r="L967" t="s" s="1">
        <v>1195</v>
      </c>
      <c r="M967" t="n" s="5">
        <v>2365.6</v>
      </c>
      <c r="N967" t="n" s="7">
        <v>44070.0</v>
      </c>
      <c r="O967" t="n" s="7">
        <v>44196.0</v>
      </c>
      <c r="P967" t="s" s="1">
        <v>3499</v>
      </c>
    </row>
    <row r="968" spans="1:16">
      <c r="A968" t="n" s="4">
        <v>963</v>
      </c>
      <c r="B968" s="2">
        <f>HYPERLINK("https://my.zakupki.prom.ua/remote/dispatcher/state_purchase_view/19694442", "UA-2020-09-29-006455-a")</f>
        <v/>
      </c>
      <c r="C968" t="s" s="2">
        <v>3245</v>
      </c>
      <c r="D968" s="2">
        <f>HYPERLINK("https://my.zakupki.prom.ua/remote/dispatcher/state_contracting_view/5685423", "UA-2020-09-29-006455-a-a1")</f>
        <v/>
      </c>
      <c r="E968" t="s" s="1">
        <v>1034</v>
      </c>
      <c r="F968" t="s" s="1">
        <v>2614</v>
      </c>
      <c r="G968" t="s" s="1">
        <v>2614</v>
      </c>
      <c r="H968" t="s" s="1">
        <v>225</v>
      </c>
      <c r="I968" t="s" s="1">
        <v>2361</v>
      </c>
      <c r="J968" t="s" s="1">
        <v>3467</v>
      </c>
      <c r="K968" t="s" s="1">
        <v>766</v>
      </c>
      <c r="L968" t="s" s="1">
        <v>1403</v>
      </c>
      <c r="M968" t="n" s="5">
        <v>3558.0</v>
      </c>
      <c r="N968" t="n" s="7">
        <v>44102.0</v>
      </c>
      <c r="O968" t="n" s="7">
        <v>44196.0</v>
      </c>
      <c r="P968" t="s" s="1">
        <v>3499</v>
      </c>
    </row>
    <row r="969" spans="1:16">
      <c r="A969" t="n" s="4">
        <v>964</v>
      </c>
      <c r="B969" s="2">
        <f>HYPERLINK("https://my.zakupki.prom.ua/remote/dispatcher/state_purchase_view/18050563", "UA-2020-07-22-006666-b")</f>
        <v/>
      </c>
      <c r="C969" t="s" s="2">
        <v>3245</v>
      </c>
      <c r="D969" s="2">
        <f>HYPERLINK("https://my.zakupki.prom.ua/remote/dispatcher/state_contracting_view/4909560", "UA-2020-07-22-006666-b-b1")</f>
        <v/>
      </c>
      <c r="E969" t="s" s="1">
        <v>2029</v>
      </c>
      <c r="F969" t="s" s="1">
        <v>3164</v>
      </c>
      <c r="G969" t="s" s="1">
        <v>3164</v>
      </c>
      <c r="H969" t="s" s="1">
        <v>297</v>
      </c>
      <c r="I969" t="s" s="1">
        <v>2361</v>
      </c>
      <c r="J969" t="s" s="1">
        <v>3305</v>
      </c>
      <c r="K969" t="s" s="1">
        <v>530</v>
      </c>
      <c r="L969" t="s" s="1">
        <v>796</v>
      </c>
      <c r="M969" t="n" s="5">
        <v>3962.2</v>
      </c>
      <c r="N969" t="n" s="7">
        <v>44033.0</v>
      </c>
      <c r="O969" t="n" s="7">
        <v>44196.0</v>
      </c>
      <c r="P969" t="s" s="1">
        <v>3499</v>
      </c>
    </row>
    <row r="970" spans="1:16">
      <c r="A970" t="n" s="4">
        <v>965</v>
      </c>
      <c r="B970" s="2">
        <f>HYPERLINK("https://my.zakupki.prom.ua/remote/dispatcher/state_purchase_view/18122247", "UA-2020-07-27-000477-b")</f>
        <v/>
      </c>
      <c r="C970" t="s" s="2">
        <v>3245</v>
      </c>
      <c r="D970" s="2">
        <f>HYPERLINK("https://my.zakupki.prom.ua/remote/dispatcher/state_contracting_view/4943674", "UA-2020-07-27-000477-b-b1")</f>
        <v/>
      </c>
      <c r="E970" t="s" s="1">
        <v>1294</v>
      </c>
      <c r="F970" t="s" s="1">
        <v>2958</v>
      </c>
      <c r="G970" t="s" s="1">
        <v>2958</v>
      </c>
      <c r="H970" t="s" s="1">
        <v>737</v>
      </c>
      <c r="I970" t="s" s="1">
        <v>2361</v>
      </c>
      <c r="J970" t="s" s="1">
        <v>3392</v>
      </c>
      <c r="K970" t="s" s="1">
        <v>428</v>
      </c>
      <c r="L970" t="s" s="1">
        <v>817</v>
      </c>
      <c r="M970" t="n" s="5">
        <v>1034.58</v>
      </c>
      <c r="N970" t="n" s="7">
        <v>44035.0</v>
      </c>
      <c r="O970" t="n" s="7">
        <v>44196.0</v>
      </c>
      <c r="P970" t="s" s="1">
        <v>3499</v>
      </c>
    </row>
    <row r="971" spans="1:16">
      <c r="A971" t="n" s="4">
        <v>966</v>
      </c>
      <c r="B971" s="2">
        <f>HYPERLINK("https://my.zakupki.prom.ua/remote/dispatcher/state_purchase_view/18315574", "UA-2020-08-05-000987-a")</f>
        <v/>
      </c>
      <c r="C971" t="s" s="2">
        <v>3245</v>
      </c>
      <c r="D971" s="2">
        <f>HYPERLINK("https://my.zakupki.prom.ua/remote/dispatcher/state_contracting_view/5032244", "UA-2020-08-05-000987-a-a1")</f>
        <v/>
      </c>
      <c r="E971" t="s" s="1">
        <v>1114</v>
      </c>
      <c r="F971" t="s" s="1">
        <v>2776</v>
      </c>
      <c r="G971" t="s" s="1">
        <v>2776</v>
      </c>
      <c r="H971" t="s" s="1">
        <v>690</v>
      </c>
      <c r="I971" t="s" s="1">
        <v>2361</v>
      </c>
      <c r="J971" t="s" s="1">
        <v>3392</v>
      </c>
      <c r="K971" t="s" s="1">
        <v>428</v>
      </c>
      <c r="L971" t="s" s="1">
        <v>943</v>
      </c>
      <c r="M971" t="n" s="5">
        <v>4089.41</v>
      </c>
      <c r="N971" t="n" s="7">
        <v>44048.0</v>
      </c>
      <c r="O971" t="n" s="7">
        <v>44196.0</v>
      </c>
      <c r="P971" t="s" s="1">
        <v>3499</v>
      </c>
    </row>
    <row r="972" spans="1:16">
      <c r="A972" t="n" s="4">
        <v>967</v>
      </c>
      <c r="B972" s="2">
        <f>HYPERLINK("https://my.zakupki.prom.ua/remote/dispatcher/state_purchase_view/18421336", "UA-2020-08-10-002905-a")</f>
        <v/>
      </c>
      <c r="C972" t="s" s="2">
        <v>3245</v>
      </c>
      <c r="D972" s="2">
        <f>HYPERLINK("https://my.zakupki.prom.ua/remote/dispatcher/state_contracting_view/5081754", "UA-2020-08-10-002905-a-a1")</f>
        <v/>
      </c>
      <c r="E972" t="s" s="1">
        <v>2101</v>
      </c>
      <c r="F972" t="s" s="1">
        <v>3060</v>
      </c>
      <c r="G972" t="s" s="1">
        <v>3060</v>
      </c>
      <c r="H972" t="s" s="1">
        <v>1016</v>
      </c>
      <c r="I972" t="s" s="1">
        <v>2361</v>
      </c>
      <c r="J972" t="s" s="1">
        <v>3251</v>
      </c>
      <c r="K972" t="s" s="1">
        <v>486</v>
      </c>
      <c r="L972" t="s" s="1">
        <v>1012</v>
      </c>
      <c r="M972" t="n" s="5">
        <v>12032.9</v>
      </c>
      <c r="N972" t="n" s="7">
        <v>44053.0</v>
      </c>
      <c r="O972" t="n" s="7">
        <v>44196.0</v>
      </c>
      <c r="P972" t="s" s="1">
        <v>3499</v>
      </c>
    </row>
    <row r="973" spans="1:16">
      <c r="A973" t="n" s="4">
        <v>968</v>
      </c>
      <c r="B973" s="2">
        <f>HYPERLINK("https://my.zakupki.prom.ua/remote/dispatcher/state_purchase_view/18422503", "UA-2020-08-10-003232-a")</f>
        <v/>
      </c>
      <c r="C973" t="s" s="2">
        <v>3245</v>
      </c>
      <c r="D973" s="2">
        <f>HYPERLINK("https://my.zakupki.prom.ua/remote/dispatcher/state_contracting_view/5082439", "UA-2020-08-10-003232-a-a1")</f>
        <v/>
      </c>
      <c r="E973" t="s" s="1">
        <v>2115</v>
      </c>
      <c r="F973" t="s" s="1">
        <v>2631</v>
      </c>
      <c r="G973" t="s" s="1">
        <v>2631</v>
      </c>
      <c r="H973" t="s" s="1">
        <v>270</v>
      </c>
      <c r="I973" t="s" s="1">
        <v>2361</v>
      </c>
      <c r="J973" t="s" s="1">
        <v>3251</v>
      </c>
      <c r="K973" t="s" s="1">
        <v>486</v>
      </c>
      <c r="L973" t="s" s="1">
        <v>1021</v>
      </c>
      <c r="M973" t="n" s="5">
        <v>27.5</v>
      </c>
      <c r="N973" t="n" s="7">
        <v>44053.0</v>
      </c>
      <c r="O973" t="n" s="7">
        <v>44196.0</v>
      </c>
      <c r="P973" t="s" s="1">
        <v>3499</v>
      </c>
    </row>
    <row r="974" spans="1:16">
      <c r="A974" t="n" s="4">
        <v>969</v>
      </c>
      <c r="B974" s="2">
        <f>HYPERLINK("https://my.zakupki.prom.ua/remote/dispatcher/state_purchase_view/18335868", "UA-2020-08-05-006492-a")</f>
        <v/>
      </c>
      <c r="C974" t="s" s="2">
        <v>3245</v>
      </c>
      <c r="D974" s="2">
        <f>HYPERLINK("https://my.zakupki.prom.ua/remote/dispatcher/state_contracting_view/5041951", "UA-2020-08-05-006492-a-a1")</f>
        <v/>
      </c>
      <c r="E974" t="s" s="1">
        <v>998</v>
      </c>
      <c r="F974" t="s" s="1">
        <v>2572</v>
      </c>
      <c r="G974" t="s" s="1">
        <v>2572</v>
      </c>
      <c r="H974" t="s" s="1">
        <v>216</v>
      </c>
      <c r="I974" t="s" s="1">
        <v>2361</v>
      </c>
      <c r="J974" t="s" s="1">
        <v>3467</v>
      </c>
      <c r="K974" t="s" s="1">
        <v>766</v>
      </c>
      <c r="L974" t="s" s="1">
        <v>961</v>
      </c>
      <c r="M974" t="n" s="5">
        <v>834.9</v>
      </c>
      <c r="N974" t="n" s="7">
        <v>44047.0</v>
      </c>
      <c r="O974" t="n" s="7">
        <v>44196.0</v>
      </c>
      <c r="P974" t="s" s="1">
        <v>3499</v>
      </c>
    </row>
    <row r="975" spans="1:16">
      <c r="A975" t="n" s="4">
        <v>970</v>
      </c>
      <c r="B975" s="2">
        <f>HYPERLINK("https://my.zakupki.prom.ua/remote/dispatcher/state_purchase_view/18257641", "UA-2020-08-03-001686-c")</f>
        <v/>
      </c>
      <c r="C975" t="s" s="2">
        <v>3245</v>
      </c>
      <c r="D975" s="2">
        <f>HYPERLINK("https://my.zakupki.prom.ua/remote/dispatcher/state_contracting_view/5005522", "UA-2020-08-03-001686-c-c1")</f>
        <v/>
      </c>
      <c r="E975" t="s" s="1">
        <v>891</v>
      </c>
      <c r="F975" t="s" s="1">
        <v>2803</v>
      </c>
      <c r="G975" t="s" s="1">
        <v>2803</v>
      </c>
      <c r="H975" t="s" s="1">
        <v>690</v>
      </c>
      <c r="I975" t="s" s="1">
        <v>2361</v>
      </c>
      <c r="J975" t="s" s="1">
        <v>3392</v>
      </c>
      <c r="K975" t="s" s="1">
        <v>428</v>
      </c>
      <c r="L975" t="s" s="1">
        <v>926</v>
      </c>
      <c r="M975" t="n" s="5">
        <v>3723.45</v>
      </c>
      <c r="N975" t="n" s="7">
        <v>44046.0</v>
      </c>
      <c r="O975" t="n" s="7">
        <v>44196.0</v>
      </c>
      <c r="P975" t="s" s="1">
        <v>3499</v>
      </c>
    </row>
    <row r="976" spans="1:16">
      <c r="A976" t="n" s="4">
        <v>971</v>
      </c>
      <c r="B976" s="2">
        <f>HYPERLINK("https://my.zakupki.prom.ua/remote/dispatcher/state_purchase_view/18652623", "UA-2020-08-19-003115-a")</f>
        <v/>
      </c>
      <c r="C976" t="s" s="2">
        <v>3245</v>
      </c>
      <c r="D976" s="2">
        <f>HYPERLINK("https://my.zakupki.prom.ua/remote/dispatcher/state_contracting_view/5190332", "UA-2020-08-19-003115-a-a1")</f>
        <v/>
      </c>
      <c r="E976" t="s" s="1">
        <v>1662</v>
      </c>
      <c r="F976" t="s" s="1">
        <v>3033</v>
      </c>
      <c r="G976" t="s" s="1">
        <v>3033</v>
      </c>
      <c r="H976" t="s" s="1">
        <v>873</v>
      </c>
      <c r="I976" t="s" s="1">
        <v>2361</v>
      </c>
      <c r="J976" t="s" s="1">
        <v>3467</v>
      </c>
      <c r="K976" t="s" s="1">
        <v>766</v>
      </c>
      <c r="L976" t="s" s="1">
        <v>1159</v>
      </c>
      <c r="M976" t="n" s="5">
        <v>5661.25</v>
      </c>
      <c r="N976" t="n" s="7">
        <v>44060.0</v>
      </c>
      <c r="O976" t="n" s="7">
        <v>44196.0</v>
      </c>
      <c r="P976" t="s" s="1">
        <v>3499</v>
      </c>
    </row>
    <row r="977" spans="1:16">
      <c r="A977" t="n" s="4">
        <v>972</v>
      </c>
      <c r="B977" s="2">
        <f>HYPERLINK("https://my.zakupki.prom.ua/remote/dispatcher/state_purchase_view/16507801", "UA-2020-04-29-002029-b")</f>
        <v/>
      </c>
      <c r="C977" t="s" s="2">
        <v>3245</v>
      </c>
      <c r="D977" s="2">
        <f>HYPERLINK("https://my.zakupki.prom.ua/remote/dispatcher/state_contracting_view/4205068", "UA-2020-04-29-002029-b-b1")</f>
        <v/>
      </c>
      <c r="E977" t="s" s="1">
        <v>1286</v>
      </c>
      <c r="F977" t="s" s="1">
        <v>1664</v>
      </c>
      <c r="G977" t="s" s="1">
        <v>1664</v>
      </c>
      <c r="H977" t="s" s="1">
        <v>1665</v>
      </c>
      <c r="I977" t="s" s="1">
        <v>2361</v>
      </c>
      <c r="J977" t="s" s="1">
        <v>3457</v>
      </c>
      <c r="K977" t="s" s="1">
        <v>800</v>
      </c>
      <c r="L977" t="s" s="1">
        <v>1747</v>
      </c>
      <c r="M977" t="n" s="5">
        <v>8328.81</v>
      </c>
      <c r="N977" t="n" s="7">
        <v>43950.0</v>
      </c>
      <c r="O977" t="n" s="7">
        <v>44196.0</v>
      </c>
      <c r="P977" t="s" s="1">
        <v>3499</v>
      </c>
    </row>
    <row r="978" spans="1:16">
      <c r="A978" t="n" s="4">
        <v>973</v>
      </c>
      <c r="B978" s="2">
        <f>HYPERLINK("https://my.zakupki.prom.ua/remote/dispatcher/state_purchase_view/16458690", "UA-2020-04-23-002210-b")</f>
        <v/>
      </c>
      <c r="C978" t="s" s="2">
        <v>3245</v>
      </c>
      <c r="D978" s="2">
        <f>HYPERLINK("https://my.zakupki.prom.ua/remote/dispatcher/state_contracting_view/4182646", "UA-2020-04-23-002210-b-b1")</f>
        <v/>
      </c>
      <c r="E978" t="s" s="1">
        <v>1882</v>
      </c>
      <c r="F978" t="s" s="1">
        <v>2420</v>
      </c>
      <c r="G978" t="s" s="1">
        <v>3351</v>
      </c>
      <c r="H978" t="s" s="1">
        <v>725</v>
      </c>
      <c r="I978" t="s" s="1">
        <v>2361</v>
      </c>
      <c r="J978" t="s" s="1">
        <v>3392</v>
      </c>
      <c r="K978" t="s" s="1">
        <v>428</v>
      </c>
      <c r="L978" t="s" s="1">
        <v>169</v>
      </c>
      <c r="M978" t="n" s="5">
        <v>4640.77</v>
      </c>
      <c r="N978" t="n" s="7">
        <v>43943.0</v>
      </c>
      <c r="O978" t="n" s="7">
        <v>44196.0</v>
      </c>
      <c r="P978" t="s" s="1">
        <v>3499</v>
      </c>
    </row>
    <row r="979" spans="1:16">
      <c r="A979" t="n" s="4">
        <v>974</v>
      </c>
      <c r="B979" s="2">
        <f>HYPERLINK("https://my.zakupki.prom.ua/remote/dispatcher/state_purchase_view/17652903", "UA-2020-07-03-007223-a")</f>
        <v/>
      </c>
      <c r="C979" t="s" s="2">
        <v>3245</v>
      </c>
      <c r="D979" s="2">
        <f>HYPERLINK("https://my.zakupki.prom.ua/remote/dispatcher/state_contracting_view/4724355", "UA-2020-07-03-007223-a-a1")</f>
        <v/>
      </c>
      <c r="E979" t="s" s="1">
        <v>2232</v>
      </c>
      <c r="F979" t="s" s="1">
        <v>2990</v>
      </c>
      <c r="G979" t="s" s="1">
        <v>2991</v>
      </c>
      <c r="H979" t="s" s="1">
        <v>848</v>
      </c>
      <c r="I979" t="s" s="1">
        <v>2361</v>
      </c>
      <c r="J979" t="s" s="1">
        <v>3467</v>
      </c>
      <c r="K979" t="s" s="1">
        <v>766</v>
      </c>
      <c r="L979" t="s" s="1">
        <v>482</v>
      </c>
      <c r="M979" t="n" s="5">
        <v>14838.8</v>
      </c>
      <c r="N979" t="n" s="7">
        <v>44015.0</v>
      </c>
      <c r="O979" t="n" s="7">
        <v>44196.0</v>
      </c>
      <c r="P979" t="s" s="1">
        <v>3499</v>
      </c>
    </row>
    <row r="980" spans="1:16">
      <c r="A980" t="n" s="4">
        <v>975</v>
      </c>
      <c r="B980" s="2">
        <f>HYPERLINK("https://my.zakupki.prom.ua/remote/dispatcher/state_purchase_view/17769972", "UA-2020-07-09-005543-c")</f>
        <v/>
      </c>
      <c r="C980" t="s" s="2">
        <v>3245</v>
      </c>
      <c r="D980" s="2">
        <f>HYPERLINK("https://my.zakupki.prom.ua/remote/dispatcher/state_contracting_view/4778580", "UA-2020-07-09-005543-c-c1")</f>
        <v/>
      </c>
      <c r="E980" t="s" s="1">
        <v>650</v>
      </c>
      <c r="F980" t="s" s="1">
        <v>2525</v>
      </c>
      <c r="G980" t="s" s="1">
        <v>2525</v>
      </c>
      <c r="H980" t="s" s="1">
        <v>39</v>
      </c>
      <c r="I980" t="s" s="1">
        <v>2361</v>
      </c>
      <c r="J980" t="s" s="1">
        <v>3467</v>
      </c>
      <c r="K980" t="s" s="1">
        <v>766</v>
      </c>
      <c r="L980" t="s" s="1">
        <v>587</v>
      </c>
      <c r="M980" t="n" s="5">
        <v>6117.89</v>
      </c>
      <c r="N980" t="n" s="7">
        <v>44019.0</v>
      </c>
      <c r="O980" t="n" s="7">
        <v>44196.0</v>
      </c>
      <c r="P980" t="s" s="1">
        <v>3499</v>
      </c>
    </row>
    <row r="981" spans="1:16">
      <c r="A981" t="n" s="4">
        <v>976</v>
      </c>
      <c r="B981" s="2">
        <f>HYPERLINK("https://my.zakupki.prom.ua/remote/dispatcher/state_purchase_view/17489001", "UA-2020-06-24-012083-a")</f>
        <v/>
      </c>
      <c r="C981" t="s" s="2">
        <v>3245</v>
      </c>
      <c r="D981" s="2">
        <f>HYPERLINK("https://my.zakupki.prom.ua/remote/dispatcher/state_contracting_view/4647921", "UA-2020-06-24-012083-a-a1")</f>
        <v/>
      </c>
      <c r="E981" t="s" s="1">
        <v>1950</v>
      </c>
      <c r="F981" t="s" s="1">
        <v>2419</v>
      </c>
      <c r="G981" t="s" s="1">
        <v>2419</v>
      </c>
      <c r="H981" t="s" s="1">
        <v>709</v>
      </c>
      <c r="I981" t="s" s="1">
        <v>2361</v>
      </c>
      <c r="J981" t="s" s="1">
        <v>3392</v>
      </c>
      <c r="K981" t="s" s="1">
        <v>428</v>
      </c>
      <c r="L981" t="s" s="1">
        <v>391</v>
      </c>
      <c r="M981" t="n" s="5">
        <v>9786.22</v>
      </c>
      <c r="N981" t="n" s="7">
        <v>44005.0</v>
      </c>
      <c r="O981" t="n" s="7">
        <v>44196.0</v>
      </c>
      <c r="P981" t="s" s="1">
        <v>3499</v>
      </c>
    </row>
    <row r="982" spans="1:16">
      <c r="A982" t="n" s="4">
        <v>977</v>
      </c>
      <c r="B982" s="2">
        <f>HYPERLINK("https://my.zakupki.prom.ua/remote/dispatcher/state_purchase_view/17458968", "UA-2020-06-24-001217-a")</f>
        <v/>
      </c>
      <c r="C982" t="s" s="2">
        <v>3245</v>
      </c>
      <c r="D982" s="2">
        <f>HYPERLINK("https://my.zakupki.prom.ua/remote/dispatcher/state_contracting_view/4635303", "UA-2020-06-24-001217-a-a1")</f>
        <v/>
      </c>
      <c r="E982" t="s" s="1">
        <v>2009</v>
      </c>
      <c r="F982" t="s" s="1">
        <v>2426</v>
      </c>
      <c r="G982" t="s" s="1">
        <v>2426</v>
      </c>
      <c r="H982" t="s" s="1">
        <v>1848</v>
      </c>
      <c r="I982" t="s" s="1">
        <v>2361</v>
      </c>
      <c r="J982" t="s" s="1">
        <v>2321</v>
      </c>
      <c r="K982" t="s" s="1">
        <v>32</v>
      </c>
      <c r="L982" t="s" s="1">
        <v>46</v>
      </c>
      <c r="M982" t="n" s="5">
        <v>6460.8</v>
      </c>
      <c r="N982" t="n" s="7">
        <v>44006.0</v>
      </c>
      <c r="O982" t="n" s="7">
        <v>44196.0</v>
      </c>
      <c r="P982" t="s" s="1">
        <v>3499</v>
      </c>
    </row>
    <row r="983" spans="1:16">
      <c r="A983" t="n" s="4">
        <v>978</v>
      </c>
      <c r="B983" s="2">
        <f>HYPERLINK("https://my.zakupki.prom.ua/remote/dispatcher/state_purchase_view/17542969", "UA-2020-06-26-008684-a")</f>
        <v/>
      </c>
      <c r="C983" t="s" s="2">
        <v>3245</v>
      </c>
      <c r="D983" s="2">
        <f>HYPERLINK("https://my.zakupki.prom.ua/remote/dispatcher/state_contracting_view/4675622", "UA-2020-06-26-008684-a-a1")</f>
        <v/>
      </c>
      <c r="E983" t="s" s="1">
        <v>1070</v>
      </c>
      <c r="F983" t="s" s="1">
        <v>2484</v>
      </c>
      <c r="G983" t="s" s="1">
        <v>2484</v>
      </c>
      <c r="H983" t="s" s="1">
        <v>1016</v>
      </c>
      <c r="I983" t="s" s="1">
        <v>2361</v>
      </c>
      <c r="J983" t="s" s="1">
        <v>3441</v>
      </c>
      <c r="K983" t="s" s="1">
        <v>498</v>
      </c>
      <c r="L983" t="s" s="1">
        <v>366</v>
      </c>
      <c r="M983" t="n" s="5">
        <v>2300.0</v>
      </c>
      <c r="N983" t="n" s="7">
        <v>44008.0</v>
      </c>
      <c r="O983" t="n" s="7">
        <v>44196.0</v>
      </c>
      <c r="P983" t="s" s="1">
        <v>3499</v>
      </c>
    </row>
    <row r="984" spans="1:16">
      <c r="A984" t="n" s="4">
        <v>979</v>
      </c>
      <c r="B984" s="2">
        <f>HYPERLINK("https://my.zakupki.prom.ua/remote/dispatcher/state_purchase_view/17968573", "UA-2020-07-20-001067-b")</f>
        <v/>
      </c>
      <c r="C984" t="s" s="2">
        <v>3245</v>
      </c>
      <c r="D984" s="2">
        <f>HYPERLINK("https://my.zakupki.prom.ua/remote/dispatcher/state_contracting_view/4870749", "UA-2020-07-20-001067-b-b1")</f>
        <v/>
      </c>
      <c r="E984" t="s" s="1">
        <v>2216</v>
      </c>
      <c r="F984" t="s" s="1">
        <v>2748</v>
      </c>
      <c r="G984" t="s" s="1">
        <v>2748</v>
      </c>
      <c r="H984" t="s" s="1">
        <v>690</v>
      </c>
      <c r="I984" t="s" s="1">
        <v>2361</v>
      </c>
      <c r="J984" t="s" s="1">
        <v>3403</v>
      </c>
      <c r="K984" t="s" s="1">
        <v>771</v>
      </c>
      <c r="L984" t="s" s="1">
        <v>753</v>
      </c>
      <c r="M984" t="n" s="5">
        <v>620.6</v>
      </c>
      <c r="N984" t="n" s="7">
        <v>44029.0</v>
      </c>
      <c r="O984" t="n" s="7">
        <v>44196.0</v>
      </c>
      <c r="P984" t="s" s="1">
        <v>3499</v>
      </c>
    </row>
    <row r="985" spans="1:16">
      <c r="A985" t="n" s="4">
        <v>980</v>
      </c>
      <c r="B985" s="2">
        <f>HYPERLINK("https://my.zakupki.prom.ua/remote/dispatcher/state_purchase_view/17965428", "UA-2020-07-20-000200-b")</f>
        <v/>
      </c>
      <c r="C985" t="s" s="2">
        <v>3245</v>
      </c>
      <c r="D985" s="2">
        <f>HYPERLINK("https://my.zakupki.prom.ua/remote/dispatcher/state_contracting_view/4869145", "UA-2020-07-20-000200-b-b1")</f>
        <v/>
      </c>
      <c r="E985" t="s" s="1">
        <v>170</v>
      </c>
      <c r="F985" t="s" s="1">
        <v>2644</v>
      </c>
      <c r="G985" t="s" s="1">
        <v>2644</v>
      </c>
      <c r="H985" t="s" s="1">
        <v>402</v>
      </c>
      <c r="I985" t="s" s="1">
        <v>2361</v>
      </c>
      <c r="J985" t="s" s="1">
        <v>2312</v>
      </c>
      <c r="K985" t="s" s="1">
        <v>346</v>
      </c>
      <c r="L985" t="s" s="1">
        <v>740</v>
      </c>
      <c r="M985" t="n" s="5">
        <v>2600.0</v>
      </c>
      <c r="N985" t="n" s="7">
        <v>44032.0</v>
      </c>
      <c r="O985" t="n" s="7">
        <v>44196.0</v>
      </c>
      <c r="P985" t="s" s="1">
        <v>3499</v>
      </c>
    </row>
    <row r="986" spans="1:16">
      <c r="A986" t="n" s="4">
        <v>981</v>
      </c>
      <c r="B986" s="2">
        <f>HYPERLINK("https://my.zakupki.prom.ua/remote/dispatcher/state_purchase_view/18130911", "UA-2020-07-27-002270-c")</f>
        <v/>
      </c>
      <c r="C986" t="s" s="2">
        <v>3245</v>
      </c>
      <c r="D986" s="2">
        <f>HYPERLINK("https://my.zakupki.prom.ua/remote/dispatcher/state_contracting_view/4947260", "UA-2020-07-27-002270-c-c1")</f>
        <v/>
      </c>
      <c r="E986" t="s" s="1">
        <v>1908</v>
      </c>
      <c r="F986" t="s" s="1">
        <v>2686</v>
      </c>
      <c r="G986" t="s" s="1">
        <v>2686</v>
      </c>
      <c r="H986" t="s" s="1">
        <v>456</v>
      </c>
      <c r="I986" t="s" s="1">
        <v>2361</v>
      </c>
      <c r="J986" t="s" s="1">
        <v>2292</v>
      </c>
      <c r="K986" t="s" s="1">
        <v>545</v>
      </c>
      <c r="L986" t="s" s="1">
        <v>825</v>
      </c>
      <c r="M986" t="n" s="5">
        <v>3070.0</v>
      </c>
      <c r="N986" t="n" s="7">
        <v>44039.0</v>
      </c>
      <c r="O986" t="n" s="7">
        <v>44196.0</v>
      </c>
      <c r="P986" t="s" s="1">
        <v>3499</v>
      </c>
    </row>
    <row r="987" spans="1:16">
      <c r="A987" t="n" s="4">
        <v>982</v>
      </c>
      <c r="B987" s="2">
        <f>HYPERLINK("https://my.zakupki.prom.ua/remote/dispatcher/state_purchase_view/17576326", "UA-2020-07-01-002969-a")</f>
        <v/>
      </c>
      <c r="C987" t="s" s="2">
        <v>3245</v>
      </c>
      <c r="D987" s="2">
        <f>HYPERLINK("https://my.zakupki.prom.ua/remote/dispatcher/state_contracting_view/4688739", "UA-2020-07-01-002969-a-a1")</f>
        <v/>
      </c>
      <c r="E987" t="s" s="1">
        <v>2110</v>
      </c>
      <c r="F987" t="s" s="1">
        <v>2430</v>
      </c>
      <c r="G987" t="s" s="1">
        <v>3215</v>
      </c>
      <c r="H987" t="s" s="1">
        <v>445</v>
      </c>
      <c r="I987" t="s" s="1">
        <v>2361</v>
      </c>
      <c r="J987" t="s" s="1">
        <v>3417</v>
      </c>
      <c r="K987" t="s" s="1">
        <v>950</v>
      </c>
      <c r="L987" t="s" s="1">
        <v>3179</v>
      </c>
      <c r="M987" t="n" s="5">
        <v>4005.0</v>
      </c>
      <c r="N987" t="n" s="7">
        <v>44012.0</v>
      </c>
      <c r="O987" t="n" s="7">
        <v>44196.0</v>
      </c>
      <c r="P987" t="s" s="1">
        <v>3499</v>
      </c>
    </row>
    <row r="988" spans="1:16">
      <c r="A988" t="n" s="4">
        <v>983</v>
      </c>
      <c r="B988" s="2">
        <f>HYPERLINK("https://my.zakupki.prom.ua/remote/dispatcher/state_purchase_view/19883883", "UA-2020-10-07-000588-a")</f>
        <v/>
      </c>
      <c r="C988" t="s" s="2">
        <v>3245</v>
      </c>
      <c r="D988" s="2">
        <f>HYPERLINK("https://my.zakupki.prom.ua/remote/dispatcher/state_contracting_view/5773093", "UA-2020-10-07-000588-a-a1")</f>
        <v/>
      </c>
      <c r="E988" t="s" s="1">
        <v>2159</v>
      </c>
      <c r="F988" t="s" s="1">
        <v>2601</v>
      </c>
      <c r="G988" t="s" s="1">
        <v>2601</v>
      </c>
      <c r="H988" t="s" s="1">
        <v>221</v>
      </c>
      <c r="I988" t="s" s="1">
        <v>2361</v>
      </c>
      <c r="J988" t="s" s="1">
        <v>3467</v>
      </c>
      <c r="K988" t="s" s="1">
        <v>766</v>
      </c>
      <c r="L988" t="s" s="1">
        <v>1444</v>
      </c>
      <c r="M988" t="n" s="5">
        <v>5950.0</v>
      </c>
      <c r="N988" t="n" s="7">
        <v>44109.0</v>
      </c>
      <c r="O988" t="n" s="7">
        <v>44196.0</v>
      </c>
      <c r="P988" t="s" s="1">
        <v>3499</v>
      </c>
    </row>
    <row r="989" spans="1:16">
      <c r="A989" t="n" s="4">
        <v>984</v>
      </c>
      <c r="B989" s="2">
        <f>HYPERLINK("https://my.zakupki.prom.ua/remote/dispatcher/state_purchase_view/19888114", "UA-2020-10-07-001748-a")</f>
        <v/>
      </c>
      <c r="C989" t="s" s="2">
        <v>3245</v>
      </c>
      <c r="D989" s="2">
        <f>HYPERLINK("https://my.zakupki.prom.ua/remote/dispatcher/state_contracting_view/5775067", "UA-2020-10-07-001748-a-a1")</f>
        <v/>
      </c>
      <c r="E989" t="s" s="1">
        <v>2107</v>
      </c>
      <c r="F989" t="s" s="1">
        <v>2607</v>
      </c>
      <c r="G989" t="s" s="1">
        <v>2607</v>
      </c>
      <c r="H989" t="s" s="1">
        <v>222</v>
      </c>
      <c r="I989" t="s" s="1">
        <v>2361</v>
      </c>
      <c r="J989" t="s" s="1">
        <v>3467</v>
      </c>
      <c r="K989" t="s" s="1">
        <v>766</v>
      </c>
      <c r="L989" t="s" s="1">
        <v>1448</v>
      </c>
      <c r="M989" t="n" s="5">
        <v>2825.0</v>
      </c>
      <c r="N989" t="n" s="7">
        <v>44109.0</v>
      </c>
      <c r="O989" t="n" s="7">
        <v>44196.0</v>
      </c>
      <c r="P989" t="s" s="1">
        <v>3499</v>
      </c>
    </row>
    <row r="990" spans="1:16">
      <c r="A990" t="n" s="4">
        <v>985</v>
      </c>
      <c r="B990" s="2">
        <f>HYPERLINK("https://my.zakupki.prom.ua/remote/dispatcher/state_purchase_view/20114100", "UA-2020-10-15-004338-c")</f>
        <v/>
      </c>
      <c r="C990" t="s" s="2">
        <v>3245</v>
      </c>
      <c r="D990" s="2">
        <f>HYPERLINK("https://my.zakupki.prom.ua/remote/dispatcher/state_contracting_view/5882032", "UA-2020-10-15-004338-c-c1")</f>
        <v/>
      </c>
      <c r="E990" t="s" s="1">
        <v>2202</v>
      </c>
      <c r="F990" t="s" s="1">
        <v>2692</v>
      </c>
      <c r="G990" t="s" s="1">
        <v>2692</v>
      </c>
      <c r="H990" t="s" s="1">
        <v>594</v>
      </c>
      <c r="I990" t="s" s="1">
        <v>2361</v>
      </c>
      <c r="J990" t="s" s="1">
        <v>2316</v>
      </c>
      <c r="K990" t="s" s="1">
        <v>768</v>
      </c>
      <c r="L990" t="s" s="1">
        <v>1519</v>
      </c>
      <c r="M990" t="n" s="5">
        <v>16235.5</v>
      </c>
      <c r="N990" t="n" s="7">
        <v>44119.0</v>
      </c>
      <c r="O990" t="n" s="7">
        <v>44196.0</v>
      </c>
      <c r="P990" t="s" s="1">
        <v>3499</v>
      </c>
    </row>
    <row r="991" spans="1:16">
      <c r="A991" t="n" s="4">
        <v>986</v>
      </c>
      <c r="B991" s="2">
        <f>HYPERLINK("https://my.zakupki.prom.ua/remote/dispatcher/state_purchase_view/19318234", "UA-2020-09-16-004281-a")</f>
        <v/>
      </c>
      <c r="C991" t="s" s="2">
        <v>3245</v>
      </c>
      <c r="D991" s="2">
        <f>HYPERLINK("https://my.zakupki.prom.ua/remote/dispatcher/state_contracting_view/5929062", "UA-2020-09-16-004281-a-a1")</f>
        <v/>
      </c>
      <c r="E991" t="s" s="1">
        <v>217</v>
      </c>
      <c r="F991" t="s" s="1">
        <v>2393</v>
      </c>
      <c r="G991" t="s" s="1">
        <v>2393</v>
      </c>
      <c r="H991" t="s" s="1">
        <v>1041</v>
      </c>
      <c r="I991" t="s" s="1">
        <v>3353</v>
      </c>
      <c r="J991" t="s" s="1">
        <v>3425</v>
      </c>
      <c r="K991" t="s" s="1">
        <v>835</v>
      </c>
      <c r="L991" t="s" s="1">
        <v>1551</v>
      </c>
      <c r="M991" t="n" s="5">
        <v>841831.0</v>
      </c>
      <c r="N991" t="n" s="7">
        <v>44123.0</v>
      </c>
      <c r="O991" t="n" s="7">
        <v>44196.0</v>
      </c>
      <c r="P991" t="s" s="1">
        <v>3499</v>
      </c>
    </row>
    <row r="992" spans="1:16">
      <c r="A992" t="n" s="4">
        <v>987</v>
      </c>
      <c r="B992" s="2">
        <f>HYPERLINK("https://my.zakupki.prom.ua/remote/dispatcher/state_purchase_view/20428458", "UA-2020-10-23-008686-a")</f>
        <v/>
      </c>
      <c r="C992" t="s" s="2">
        <v>3245</v>
      </c>
      <c r="D992" s="2">
        <f>HYPERLINK("https://my.zakupki.prom.ua/remote/dispatcher/state_contracting_view/6034235", "UA-2020-10-23-008686-a-a1")</f>
        <v/>
      </c>
      <c r="E992" t="s" s="1">
        <v>927</v>
      </c>
      <c r="F992" t="s" s="1">
        <v>2695</v>
      </c>
      <c r="G992" t="s" s="1">
        <v>2695</v>
      </c>
      <c r="H992" t="s" s="1">
        <v>597</v>
      </c>
      <c r="I992" t="s" s="1">
        <v>2361</v>
      </c>
      <c r="J992" t="s" s="1">
        <v>3409</v>
      </c>
      <c r="K992" t="s" s="1">
        <v>823</v>
      </c>
      <c r="L992" t="s" s="1">
        <v>526</v>
      </c>
      <c r="M992" t="n" s="5">
        <v>1032.0</v>
      </c>
      <c r="N992" t="n" s="7">
        <v>44126.0</v>
      </c>
      <c r="O992" t="n" s="7">
        <v>44196.0</v>
      </c>
      <c r="P992" t="s" s="1">
        <v>3499</v>
      </c>
    </row>
    <row r="993" spans="1:16">
      <c r="A993" t="n" s="4">
        <v>988</v>
      </c>
      <c r="B993" s="2">
        <f>HYPERLINK("https://my.zakupki.prom.ua/remote/dispatcher/state_purchase_view/20429586", "UA-2020-10-23-009034-a")</f>
        <v/>
      </c>
      <c r="C993" t="s" s="2">
        <v>3245</v>
      </c>
      <c r="D993" s="2">
        <f>HYPERLINK("https://my.zakupki.prom.ua/remote/dispatcher/state_contracting_view/6034446", "UA-2020-10-23-009034-a-a1")</f>
        <v/>
      </c>
      <c r="E993" t="s" s="1">
        <v>381</v>
      </c>
      <c r="F993" t="s" s="1">
        <v>3103</v>
      </c>
      <c r="G993" t="s" s="1">
        <v>3103</v>
      </c>
      <c r="H993" t="s" s="1">
        <v>1150</v>
      </c>
      <c r="I993" t="s" s="1">
        <v>2361</v>
      </c>
      <c r="J993" t="s" s="1">
        <v>3409</v>
      </c>
      <c r="K993" t="s" s="1">
        <v>823</v>
      </c>
      <c r="L993" t="s" s="1">
        <v>529</v>
      </c>
      <c r="M993" t="n" s="5">
        <v>7800.0</v>
      </c>
      <c r="N993" t="n" s="7">
        <v>44127.0</v>
      </c>
      <c r="O993" t="n" s="7">
        <v>44196.0</v>
      </c>
      <c r="P993" t="s" s="1">
        <v>3499</v>
      </c>
    </row>
    <row r="994" spans="1:16">
      <c r="A994" t="n" s="4">
        <v>989</v>
      </c>
      <c r="B994" s="2">
        <f>HYPERLINK("https://my.zakupki.prom.ua/remote/dispatcher/state_purchase_view/18993120", "UA-2020-09-03-008096-b")</f>
        <v/>
      </c>
      <c r="C994" t="s" s="2">
        <v>3245</v>
      </c>
      <c r="D994" s="2">
        <f>HYPERLINK("https://my.zakupki.prom.ua/remote/dispatcher/state_contracting_view/5353102", "UA-2020-09-03-008096-b-b1")</f>
        <v/>
      </c>
      <c r="E994" t="s" s="1">
        <v>1715</v>
      </c>
      <c r="F994" t="s" s="1">
        <v>2857</v>
      </c>
      <c r="G994" t="s" s="1">
        <v>3469</v>
      </c>
      <c r="H994" t="s" s="1">
        <v>718</v>
      </c>
      <c r="I994" t="s" s="1">
        <v>2361</v>
      </c>
      <c r="J994" t="s" s="1">
        <v>3302</v>
      </c>
      <c r="K994" t="s" s="1">
        <v>617</v>
      </c>
      <c r="L994" t="s" s="1">
        <v>1227</v>
      </c>
      <c r="M994" t="n" s="5">
        <v>69406.75</v>
      </c>
      <c r="N994" t="n" s="7">
        <v>44075.0</v>
      </c>
      <c r="O994" t="n" s="7">
        <v>44196.0</v>
      </c>
      <c r="P994" t="s" s="1">
        <v>3499</v>
      </c>
    </row>
    <row r="995" spans="1:16">
      <c r="A995" t="n" s="4">
        <v>990</v>
      </c>
      <c r="B995" s="2">
        <f>HYPERLINK("https://my.zakupki.prom.ua/remote/dispatcher/state_purchase_view/18982254", "UA-2020-09-03-004979-b")</f>
        <v/>
      </c>
      <c r="C995" t="s" s="2">
        <v>3245</v>
      </c>
      <c r="D995" s="2">
        <f>HYPERLINK("https://my.zakupki.prom.ua/remote/dispatcher/state_contracting_view/5347541", "UA-2020-09-03-004979-b-b1")</f>
        <v/>
      </c>
      <c r="E995" t="s" s="1">
        <v>1951</v>
      </c>
      <c r="F995" t="s" s="1">
        <v>2397</v>
      </c>
      <c r="G995" t="s" s="1">
        <v>2397</v>
      </c>
      <c r="H995" t="s" s="1">
        <v>207</v>
      </c>
      <c r="I995" t="s" s="1">
        <v>2361</v>
      </c>
      <c r="J995" t="s" s="1">
        <v>3467</v>
      </c>
      <c r="K995" t="s" s="1">
        <v>766</v>
      </c>
      <c r="L995" t="s" s="1">
        <v>1211</v>
      </c>
      <c r="M995" t="n" s="5">
        <v>17706.5</v>
      </c>
      <c r="N995" t="n" s="7">
        <v>44075.0</v>
      </c>
      <c r="O995" t="n" s="7">
        <v>44196.0</v>
      </c>
      <c r="P995" t="s" s="1">
        <v>3499</v>
      </c>
    </row>
    <row r="996" spans="1:16">
      <c r="A996" t="n" s="4">
        <v>991</v>
      </c>
      <c r="B996" s="2">
        <f>HYPERLINK("https://my.zakupki.prom.ua/remote/dispatcher/state_purchase_view/19269163", "UA-2020-09-15-000925-a")</f>
        <v/>
      </c>
      <c r="C996" t="s" s="2">
        <v>3245</v>
      </c>
      <c r="D996" s="2">
        <f>HYPERLINK("https://my.zakupki.prom.ua/remote/dispatcher/state_contracting_view/5483667", "UA-2020-09-15-000925-a-a1")</f>
        <v/>
      </c>
      <c r="E996" t="s" s="1">
        <v>2206</v>
      </c>
      <c r="F996" t="s" s="1">
        <v>3005</v>
      </c>
      <c r="G996" t="s" s="1">
        <v>3005</v>
      </c>
      <c r="H996" t="s" s="1">
        <v>848</v>
      </c>
      <c r="I996" t="s" s="1">
        <v>2361</v>
      </c>
      <c r="J996" t="s" s="1">
        <v>3251</v>
      </c>
      <c r="K996" t="s" s="1">
        <v>486</v>
      </c>
      <c r="L996" t="s" s="1">
        <v>1323</v>
      </c>
      <c r="M996" t="n" s="5">
        <v>5504.35</v>
      </c>
      <c r="N996" t="n" s="7">
        <v>44088.0</v>
      </c>
      <c r="O996" t="n" s="7">
        <v>44196.0</v>
      </c>
      <c r="P996" t="s" s="1">
        <v>3499</v>
      </c>
    </row>
    <row r="997" spans="1:16">
      <c r="A997" t="n" s="4">
        <v>992</v>
      </c>
      <c r="B997" s="2">
        <f>HYPERLINK("https://my.zakupki.prom.ua/remote/dispatcher/state_purchase_view/19240694", "UA-2020-09-14-003156-b")</f>
        <v/>
      </c>
      <c r="C997" t="s" s="2">
        <v>3245</v>
      </c>
      <c r="D997" s="2">
        <f>HYPERLINK("https://my.zakupki.prom.ua/remote/dispatcher/state_contracting_view/5469953", "UA-2020-09-14-003156-b-b1")</f>
        <v/>
      </c>
      <c r="E997" t="s" s="1">
        <v>327</v>
      </c>
      <c r="F997" t="s" s="1">
        <v>3066</v>
      </c>
      <c r="G997" t="s" s="1">
        <v>3066</v>
      </c>
      <c r="H997" t="s" s="1">
        <v>1022</v>
      </c>
      <c r="I997" t="s" s="1">
        <v>2361</v>
      </c>
      <c r="J997" t="s" s="1">
        <v>3251</v>
      </c>
      <c r="K997" t="s" s="1">
        <v>486</v>
      </c>
      <c r="L997" t="s" s="1">
        <v>1317</v>
      </c>
      <c r="M997" t="n" s="5">
        <v>930.6</v>
      </c>
      <c r="N997" t="n" s="7">
        <v>44088.0</v>
      </c>
      <c r="O997" t="n" s="7">
        <v>44196.0</v>
      </c>
      <c r="P997" t="s" s="1">
        <v>3499</v>
      </c>
    </row>
    <row r="998" spans="1:16">
      <c r="A998" t="n" s="4">
        <v>993</v>
      </c>
      <c r="B998" s="2">
        <f>HYPERLINK("https://my.zakupki.prom.ua/remote/dispatcher/state_purchase_view/16572675", "UA-2020-05-06-003767-b")</f>
        <v/>
      </c>
      <c r="C998" t="s" s="2">
        <v>3245</v>
      </c>
      <c r="D998" s="2">
        <f>HYPERLINK("https://my.zakupki.prom.ua/remote/dispatcher/state_contracting_view/4233113", "UA-2020-05-06-003767-b-b1")</f>
        <v/>
      </c>
      <c r="E998" t="s" s="1">
        <v>2112</v>
      </c>
      <c r="F998" t="s" s="1">
        <v>2300</v>
      </c>
      <c r="G998" t="s" s="1">
        <v>2300</v>
      </c>
      <c r="H998" t="s" s="1">
        <v>1003</v>
      </c>
      <c r="I998" t="s" s="1">
        <v>2361</v>
      </c>
      <c r="J998" t="s" s="1">
        <v>3235</v>
      </c>
      <c r="K998" t="s" s="1">
        <v>466</v>
      </c>
      <c r="L998" t="s" s="1">
        <v>190</v>
      </c>
      <c r="M998" t="n" s="5">
        <v>5957.5</v>
      </c>
      <c r="N998" t="n" s="7">
        <v>43957.0</v>
      </c>
      <c r="O998" t="n" s="7">
        <v>44196.0</v>
      </c>
      <c r="P998" t="s" s="1">
        <v>3499</v>
      </c>
    </row>
    <row r="999" spans="1:16">
      <c r="A999" t="n" s="4">
        <v>994</v>
      </c>
      <c r="B999" s="2">
        <f>HYPERLINK("https://my.zakupki.prom.ua/remote/dispatcher/state_purchase_view/20878381", "UA-2020-11-09-001741-c")</f>
        <v/>
      </c>
      <c r="C999" t="s" s="2">
        <v>3245</v>
      </c>
      <c r="D999" s="2">
        <f>HYPERLINK("https://my.zakupki.prom.ua/remote/dispatcher/state_contracting_view/6250174", "UA-2020-11-09-001741-c-c1")</f>
        <v/>
      </c>
      <c r="E999" t="s" s="1">
        <v>1883</v>
      </c>
      <c r="F999" t="s" s="1">
        <v>3071</v>
      </c>
      <c r="G999" t="s" s="1">
        <v>3071</v>
      </c>
      <c r="H999" t="s" s="1">
        <v>1023</v>
      </c>
      <c r="I999" t="s" s="1">
        <v>2361</v>
      </c>
      <c r="J999" t="s" s="1">
        <v>3251</v>
      </c>
      <c r="K999" t="s" s="1">
        <v>486</v>
      </c>
      <c r="L999" t="s" s="1">
        <v>3277</v>
      </c>
      <c r="M999" t="n" s="5">
        <v>395.7</v>
      </c>
      <c r="N999" t="n" s="7">
        <v>44144.0</v>
      </c>
      <c r="O999" t="n" s="7">
        <v>44196.0</v>
      </c>
      <c r="P999" t="s" s="1">
        <v>3499</v>
      </c>
    </row>
    <row r="1000" spans="1:16">
      <c r="A1000" t="n" s="4">
        <v>995</v>
      </c>
      <c r="B1000" s="2">
        <f>HYPERLINK("https://my.zakupki.prom.ua/remote/dispatcher/state_purchase_view/20982037", "UA-2020-11-11-009189-a")</f>
        <v/>
      </c>
      <c r="C1000" t="s" s="2">
        <v>3245</v>
      </c>
      <c r="D1000" s="2">
        <f>HYPERLINK("https://my.zakupki.prom.ua/remote/dispatcher/state_contracting_view/6299499", "UA-2020-11-11-009189-a-a1")</f>
        <v/>
      </c>
      <c r="E1000" t="s" s="1">
        <v>1098</v>
      </c>
      <c r="F1000" t="s" s="1">
        <v>3039</v>
      </c>
      <c r="G1000" t="s" s="1">
        <v>3039</v>
      </c>
      <c r="H1000" t="s" s="1">
        <v>873</v>
      </c>
      <c r="I1000" t="s" s="1">
        <v>2361</v>
      </c>
      <c r="J1000" t="s" s="1">
        <v>3467</v>
      </c>
      <c r="K1000" t="s" s="1">
        <v>766</v>
      </c>
      <c r="L1000" t="s" s="1">
        <v>1682</v>
      </c>
      <c r="M1000" t="n" s="5">
        <v>4494.7</v>
      </c>
      <c r="N1000" t="n" s="7">
        <v>44146.0</v>
      </c>
      <c r="O1000" t="n" s="7">
        <v>44196.0</v>
      </c>
      <c r="P1000" t="s" s="1">
        <v>3499</v>
      </c>
    </row>
    <row r="1001" spans="1:16">
      <c r="A1001" t="n" s="4">
        <v>996</v>
      </c>
      <c r="B1001" s="2">
        <f>HYPERLINK("https://my.zakupki.prom.ua/remote/dispatcher/state_purchase_view/20983166", "UA-2020-11-11-009478-a")</f>
        <v/>
      </c>
      <c r="C1001" t="s" s="2">
        <v>3245</v>
      </c>
      <c r="D1001" s="2">
        <f>HYPERLINK("https://my.zakupki.prom.ua/remote/dispatcher/state_contracting_view/6300231", "UA-2020-11-11-009478-a-a1")</f>
        <v/>
      </c>
      <c r="E1001" t="s" s="1">
        <v>63</v>
      </c>
      <c r="F1001" t="s" s="1">
        <v>3002</v>
      </c>
      <c r="G1001" t="s" s="1">
        <v>3002</v>
      </c>
      <c r="H1001" t="s" s="1">
        <v>848</v>
      </c>
      <c r="I1001" t="s" s="1">
        <v>2361</v>
      </c>
      <c r="J1001" t="s" s="1">
        <v>3467</v>
      </c>
      <c r="K1001" t="s" s="1">
        <v>766</v>
      </c>
      <c r="L1001" t="s" s="1">
        <v>1684</v>
      </c>
      <c r="M1001" t="n" s="5">
        <v>1820.0</v>
      </c>
      <c r="N1001" t="n" s="7">
        <v>44146.0</v>
      </c>
      <c r="O1001" t="n" s="7">
        <v>44196.0</v>
      </c>
      <c r="P1001" t="s" s="1">
        <v>3499</v>
      </c>
    </row>
    <row r="1002" spans="1:16">
      <c r="A1002" t="n" s="4">
        <v>997</v>
      </c>
      <c r="B1002" s="2">
        <f>HYPERLINK("https://my.zakupki.prom.ua/remote/dispatcher/state_purchase_view/20575897", "UA-2020-10-29-000881-c")</f>
        <v/>
      </c>
      <c r="C1002" t="s" s="2">
        <v>3245</v>
      </c>
      <c r="D1002" s="2">
        <f>HYPERLINK("https://my.zakupki.prom.ua/remote/dispatcher/state_contracting_view/6107447", "UA-2020-10-29-000881-c-c1")</f>
        <v/>
      </c>
      <c r="E1002" t="s" s="1">
        <v>1910</v>
      </c>
      <c r="F1002" t="s" s="1">
        <v>2711</v>
      </c>
      <c r="G1002" t="s" s="1">
        <v>2711</v>
      </c>
      <c r="H1002" t="s" s="1">
        <v>631</v>
      </c>
      <c r="I1002" t="s" s="1">
        <v>2361</v>
      </c>
      <c r="J1002" t="s" s="1">
        <v>3251</v>
      </c>
      <c r="K1002" t="s" s="1">
        <v>486</v>
      </c>
      <c r="L1002" t="s" s="1">
        <v>3258</v>
      </c>
      <c r="M1002" t="n" s="5">
        <v>4282.6</v>
      </c>
      <c r="N1002" t="n" s="7">
        <v>44133.0</v>
      </c>
      <c r="O1002" t="n" s="7">
        <v>44196.0</v>
      </c>
      <c r="P1002" t="s" s="1">
        <v>3499</v>
      </c>
    </row>
    <row r="1003" spans="1:16">
      <c r="A1003" t="n" s="4">
        <v>998</v>
      </c>
      <c r="B1003" s="2">
        <f>HYPERLINK("https://my.zakupki.prom.ua/remote/dispatcher/state_purchase_view/20741352", "UA-2020-11-04-004867-c")</f>
        <v/>
      </c>
      <c r="C1003" t="s" s="2">
        <v>3245</v>
      </c>
      <c r="D1003" s="2">
        <f>HYPERLINK("https://my.zakupki.prom.ua/remote/dispatcher/state_contracting_view/6184613", "UA-2020-11-04-004867-c-c1")</f>
        <v/>
      </c>
      <c r="E1003" t="s" s="1">
        <v>1601</v>
      </c>
      <c r="F1003" t="s" s="1">
        <v>2562</v>
      </c>
      <c r="G1003" t="s" s="1">
        <v>2562</v>
      </c>
      <c r="H1003" t="s" s="1">
        <v>216</v>
      </c>
      <c r="I1003" t="s" s="1">
        <v>2361</v>
      </c>
      <c r="J1003" t="s" s="1">
        <v>3467</v>
      </c>
      <c r="K1003" t="s" s="1">
        <v>766</v>
      </c>
      <c r="L1003" t="s" s="1">
        <v>1636</v>
      </c>
      <c r="M1003" t="n" s="5">
        <v>2130.0</v>
      </c>
      <c r="N1003" t="n" s="7">
        <v>44137.0</v>
      </c>
      <c r="O1003" t="n" s="7">
        <v>44196.0</v>
      </c>
      <c r="P1003" t="s" s="1">
        <v>3499</v>
      </c>
    </row>
    <row r="1004" spans="1:16">
      <c r="A1004" t="n" s="4">
        <v>999</v>
      </c>
      <c r="B1004" s="2">
        <f>HYPERLINK("https://my.zakupki.prom.ua/remote/dispatcher/state_purchase_view/21327858", "UA-2020-11-23-005491-c")</f>
        <v/>
      </c>
      <c r="C1004" t="s" s="2">
        <v>3245</v>
      </c>
      <c r="D1004" s="2">
        <f>HYPERLINK("https://my.zakupki.prom.ua/remote/dispatcher/state_contracting_view/6459658", "UA-2020-11-23-005491-c-c1")</f>
        <v/>
      </c>
      <c r="E1004" t="s" s="1">
        <v>2190</v>
      </c>
      <c r="F1004" t="s" s="1">
        <v>2893</v>
      </c>
      <c r="G1004" t="s" s="1">
        <v>3520</v>
      </c>
      <c r="H1004" t="s" s="1">
        <v>718</v>
      </c>
      <c r="I1004" t="s" s="1">
        <v>2361</v>
      </c>
      <c r="J1004" t="s" s="1">
        <v>3392</v>
      </c>
      <c r="K1004" t="s" s="1">
        <v>428</v>
      </c>
      <c r="L1004" t="s" s="1">
        <v>1788</v>
      </c>
      <c r="M1004" t="n" s="5">
        <v>82973.2</v>
      </c>
      <c r="N1004" t="n" s="7">
        <v>44158.0</v>
      </c>
      <c r="O1004" t="n" s="7">
        <v>44196.0</v>
      </c>
      <c r="P1004" t="s" s="1">
        <v>3499</v>
      </c>
    </row>
    <row r="1005" spans="1:16">
      <c r="A1005" t="n" s="4">
        <v>1000</v>
      </c>
      <c r="B1005" s="2">
        <f>HYPERLINK("https://my.zakupki.prom.ua/remote/dispatcher/state_purchase_view/21520122", "UA-2020-11-27-004727-b")</f>
        <v/>
      </c>
      <c r="C1005" t="s" s="2">
        <v>3245</v>
      </c>
      <c r="D1005" s="2">
        <f>HYPERLINK("https://my.zakupki.prom.ua/remote/dispatcher/state_contracting_view/6550274", "UA-2020-11-27-004727-b-b1")</f>
        <v/>
      </c>
      <c r="E1005" t="s" s="1">
        <v>2175</v>
      </c>
      <c r="F1005" t="s" s="1">
        <v>2533</v>
      </c>
      <c r="G1005" t="s" s="1">
        <v>2533</v>
      </c>
      <c r="H1005" t="s" s="1">
        <v>198</v>
      </c>
      <c r="I1005" t="s" s="1">
        <v>2361</v>
      </c>
      <c r="J1005" t="s" s="1">
        <v>3375</v>
      </c>
      <c r="K1005" t="s" s="1">
        <v>794</v>
      </c>
      <c r="L1005" t="s" s="1">
        <v>459</v>
      </c>
      <c r="M1005" t="n" s="5">
        <v>4317.6</v>
      </c>
      <c r="N1005" t="n" s="7">
        <v>44160.0</v>
      </c>
      <c r="O1005" t="n" s="7">
        <v>44196.0</v>
      </c>
      <c r="P1005" t="s" s="1">
        <v>3499</v>
      </c>
    </row>
    <row r="1006" spans="1:16">
      <c r="A1006" t="s" s="1">
        <v>2366</v>
      </c>
    </row>
  </sheetData>
  <autoFilter ref="A5:P1005"/>
  <hyperlinks>
    <hyperlink display="mailto:report.zakupki@prom.ua" ref="A2" r:id="rId1"/>
    <hyperlink display="https://my.zakupki.prom.ua/remote/dispatcher/state_purchase_view/16239609" ref="B6" r:id="rId2"/>
    <hyperlink display="https://my.zakupki.prom.ua/remote/dispatcher/state_contracting_view/4098373" ref="D6" r:id="rId3"/>
    <hyperlink display="https://my.zakupki.prom.ua/remote/dispatcher/state_purchase_view/15106387" ref="B7" r:id="rId4"/>
    <hyperlink display="https://my.zakupki.prom.ua/remote/dispatcher/state_contracting_view/3754610" ref="D7" r:id="rId5"/>
    <hyperlink display="https://my.zakupki.prom.ua/remote/dispatcher/state_purchase_view/15580751" ref="B8" r:id="rId6"/>
    <hyperlink display="https://my.zakupki.prom.ua/remote/dispatcher/state_contracting_view/3883410" ref="D8" r:id="rId7"/>
    <hyperlink display="https://my.zakupki.prom.ua/remote/dispatcher/state_purchase_view/15696579" ref="B9" r:id="rId8"/>
    <hyperlink display="https://my.zakupki.prom.ua/remote/dispatcher/state_contracting_view/3918094" ref="D9" r:id="rId9"/>
    <hyperlink display="https://my.zakupki.prom.ua/remote/dispatcher/state_purchase_view/15694669" ref="B10" r:id="rId10"/>
    <hyperlink display="https://my.zakupki.prom.ua/remote/dispatcher/state_contracting_view/3917480" ref="D10" r:id="rId11"/>
    <hyperlink display="https://my.zakupki.prom.ua/remote/dispatcher/state_purchase_view/18275465" ref="B11" r:id="rId12"/>
    <hyperlink display="https://my.zakupki.prom.ua/remote/dispatcher/state_contracting_view/5013981" ref="D11" r:id="rId13"/>
    <hyperlink display="https://my.zakupki.prom.ua/remote/dispatcher/state_purchase_view/18196149" ref="B12" r:id="rId14"/>
    <hyperlink display="https://my.zakupki.prom.ua/remote/dispatcher/state_contracting_view/4978180" ref="D12" r:id="rId15"/>
    <hyperlink display="https://my.zakupki.prom.ua/remote/dispatcher/state_purchase_view/18128125" ref="B13" r:id="rId16"/>
    <hyperlink display="https://my.zakupki.prom.ua/remote/dispatcher/state_contracting_view/5003262" ref="D13" r:id="rId17"/>
    <hyperlink display="https://my.zakupki.prom.ua/remote/dispatcher/state_purchase_view/18365048" ref="B14" r:id="rId18"/>
    <hyperlink display="https://my.zakupki.prom.ua/remote/dispatcher/state_contracting_view/5055272" ref="D14" r:id="rId19"/>
    <hyperlink display="https://my.zakupki.prom.ua/remote/dispatcher/state_purchase_view/18475580" ref="B15" r:id="rId20"/>
    <hyperlink display="https://my.zakupki.prom.ua/remote/dispatcher/state_contracting_view/5107295" ref="D15" r:id="rId21"/>
    <hyperlink display="https://my.zakupki.prom.ua/remote/dispatcher/state_purchase_view/18487867" ref="B16" r:id="rId22"/>
    <hyperlink display="https://my.zakupki.prom.ua/remote/dispatcher/state_contracting_view/5113157" ref="D16" r:id="rId23"/>
    <hyperlink display="https://my.zakupki.prom.ua/remote/dispatcher/state_purchase_view/18351036" ref="B17" r:id="rId24"/>
    <hyperlink display="https://my.zakupki.prom.ua/remote/dispatcher/state_contracting_view/5113179" ref="D17" r:id="rId25"/>
    <hyperlink display="https://my.zakupki.prom.ua/remote/dispatcher/state_purchase_view/17035510" ref="B18" r:id="rId26"/>
    <hyperlink display="https://my.zakupki.prom.ua/remote/dispatcher/state_contracting_view/4439009" ref="D18" r:id="rId27"/>
    <hyperlink display="https://my.zakupki.prom.ua/remote/dispatcher/state_purchase_view/16489420" ref="B19" r:id="rId28"/>
    <hyperlink display="https://my.zakupki.prom.ua/remote/dispatcher/state_contracting_view/4196660" ref="D19" r:id="rId29"/>
    <hyperlink display="https://my.zakupki.prom.ua/remote/dispatcher/state_purchase_view/19321397" ref="B20" r:id="rId30"/>
    <hyperlink display="https://my.zakupki.prom.ua/remote/dispatcher/state_contracting_view/5508484" ref="D20" r:id="rId31"/>
    <hyperlink display="https://my.zakupki.prom.ua/remote/dispatcher/state_purchase_view/19351348" ref="B21" r:id="rId32"/>
    <hyperlink display="https://my.zakupki.prom.ua/remote/dispatcher/state_contracting_view/5522348" ref="D21" r:id="rId33"/>
    <hyperlink display="https://my.zakupki.prom.ua/remote/dispatcher/state_purchase_view/19063008" ref="B22" r:id="rId34"/>
    <hyperlink display="https://my.zakupki.prom.ua/remote/dispatcher/state_contracting_view/5385995" ref="D22" r:id="rId35"/>
    <hyperlink display="https://my.zakupki.prom.ua/remote/dispatcher/state_purchase_view/19219497" ref="B23" r:id="rId36"/>
    <hyperlink display="https://my.zakupki.prom.ua/remote/dispatcher/state_contracting_view/5459643" ref="D23" r:id="rId37"/>
    <hyperlink display="https://my.zakupki.prom.ua/remote/dispatcher/state_purchase_view/19230854" ref="B24" r:id="rId38"/>
    <hyperlink display="https://my.zakupki.prom.ua/remote/dispatcher/state_contracting_view/5465490" ref="D24" r:id="rId39"/>
    <hyperlink display="https://my.zakupki.prom.ua/remote/dispatcher/state_purchase_view/19119515" ref="B25" r:id="rId40"/>
    <hyperlink display="https://my.zakupki.prom.ua/remote/dispatcher/state_contracting_view/5412356" ref="D25" r:id="rId41"/>
    <hyperlink display="https://my.zakupki.prom.ua/remote/dispatcher/state_purchase_view/19424999" ref="B26" r:id="rId42"/>
    <hyperlink display="https://my.zakupki.prom.ua/remote/dispatcher/state_contracting_view/5557485" ref="D26" r:id="rId43"/>
    <hyperlink display="https://my.zakupki.prom.ua/remote/dispatcher/state_purchase_view/19426435" ref="B27" r:id="rId44"/>
    <hyperlink display="https://my.zakupki.prom.ua/remote/dispatcher/state_contracting_view/5558426" ref="D27" r:id="rId45"/>
    <hyperlink display="https://my.zakupki.prom.ua/remote/dispatcher/state_purchase_view/19196855" ref="B28" r:id="rId46"/>
    <hyperlink display="https://my.zakupki.prom.ua/remote/dispatcher/state_contracting_view/5448911" ref="D28" r:id="rId47"/>
    <hyperlink display="https://my.zakupki.prom.ua/remote/dispatcher/state_purchase_view/19635918" ref="B29" r:id="rId48"/>
    <hyperlink display="https://my.zakupki.prom.ua/remote/dispatcher/state_contracting_view/5658932" ref="D29" r:id="rId49"/>
    <hyperlink display="https://my.zakupki.prom.ua/remote/dispatcher/state_purchase_view/18395448" ref="B30" r:id="rId50"/>
    <hyperlink display="https://my.zakupki.prom.ua/remote/dispatcher/state_contracting_view/5069953" ref="D30" r:id="rId51"/>
    <hyperlink display="https://my.zakupki.prom.ua/remote/dispatcher/state_purchase_view/18846776" ref="B31" r:id="rId52"/>
    <hyperlink display="https://my.zakupki.prom.ua/remote/dispatcher/state_contracting_view/5284613" ref="D31" r:id="rId53"/>
    <hyperlink display="https://my.zakupki.prom.ua/remote/dispatcher/state_purchase_view/18616369" ref="B32" r:id="rId54"/>
    <hyperlink display="https://my.zakupki.prom.ua/remote/dispatcher/state_contracting_view/5173455" ref="D32" r:id="rId55"/>
    <hyperlink display="https://my.zakupki.prom.ua/remote/dispatcher/state_purchase_view/18650055" ref="B33" r:id="rId56"/>
    <hyperlink display="https://my.zakupki.prom.ua/remote/dispatcher/state_contracting_view/5189264" ref="D33" r:id="rId57"/>
    <hyperlink display="https://my.zakupki.prom.ua/remote/dispatcher/state_purchase_view/18934869" ref="B34" r:id="rId58"/>
    <hyperlink display="https://my.zakupki.prom.ua/remote/dispatcher/state_contracting_view/5328539" ref="D34" r:id="rId59"/>
    <hyperlink display="https://my.zakupki.prom.ua/remote/dispatcher/state_purchase_view/18791784" ref="B35" r:id="rId60"/>
    <hyperlink display="https://my.zakupki.prom.ua/remote/dispatcher/state_contracting_view/5258072" ref="D35" r:id="rId61"/>
    <hyperlink display="https://my.zakupki.prom.ua/remote/dispatcher/state_purchase_view/16297569" ref="B36" r:id="rId62"/>
    <hyperlink display="https://my.zakupki.prom.ua/remote/dispatcher/state_contracting_view/4121175" ref="D36" r:id="rId63"/>
    <hyperlink display="https://my.zakupki.prom.ua/remote/dispatcher/state_purchase_view/17227175" ref="B37" r:id="rId64"/>
    <hyperlink display="https://my.zakupki.prom.ua/remote/dispatcher/state_contracting_view/4526944" ref="D37" r:id="rId65"/>
    <hyperlink display="https://my.zakupki.prom.ua/remote/dispatcher/state_purchase_view/17126823" ref="B38" r:id="rId66"/>
    <hyperlink display="https://my.zakupki.prom.ua/remote/dispatcher/state_contracting_view/4481060" ref="D38" r:id="rId67"/>
    <hyperlink display="https://my.zakupki.prom.ua/remote/dispatcher/state_purchase_view/17126886" ref="B39" r:id="rId68"/>
    <hyperlink display="https://my.zakupki.prom.ua/remote/dispatcher/state_contracting_view/4481102" ref="D39" r:id="rId69"/>
    <hyperlink display="https://my.zakupki.prom.ua/remote/dispatcher/state_purchase_view/20025790" ref="B40" r:id="rId70"/>
    <hyperlink display="https://my.zakupki.prom.ua/remote/dispatcher/state_contracting_view/5839575" ref="D40" r:id="rId71"/>
    <hyperlink display="https://my.zakupki.prom.ua/remote/dispatcher/state_purchase_view/18031429" ref="B41" r:id="rId72"/>
    <hyperlink display="https://my.zakupki.prom.ua/remote/dispatcher/state_contracting_view/4900412" ref="D41" r:id="rId73"/>
    <hyperlink display="https://my.zakupki.prom.ua/remote/dispatcher/state_purchase_view/17890008" ref="B42" r:id="rId74"/>
    <hyperlink display="https://my.zakupki.prom.ua/remote/dispatcher/state_contracting_view/4834455" ref="D42" r:id="rId75"/>
    <hyperlink display="https://my.zakupki.prom.ua/remote/dispatcher/state_purchase_view/17888201" ref="B43" r:id="rId76"/>
    <hyperlink display="https://my.zakupki.prom.ua/remote/dispatcher/state_contracting_view/4833305" ref="D43" r:id="rId77"/>
    <hyperlink display="https://my.zakupki.prom.ua/remote/dispatcher/state_purchase_view/17966536" ref="B44" r:id="rId78"/>
    <hyperlink display="https://my.zakupki.prom.ua/remote/dispatcher/state_contracting_view/4869607" ref="D44" r:id="rId79"/>
    <hyperlink display="https://my.zakupki.prom.ua/remote/dispatcher/state_purchase_view/18027973" ref="B45" r:id="rId80"/>
    <hyperlink display="https://my.zakupki.prom.ua/remote/dispatcher/state_contracting_view/4898886" ref="D45" r:id="rId81"/>
    <hyperlink display="https://my.zakupki.prom.ua/remote/dispatcher/state_purchase_view/17700984" ref="B46" r:id="rId82"/>
    <hyperlink display="https://my.zakupki.prom.ua/remote/dispatcher/state_contracting_view/4746425" ref="D46" r:id="rId83"/>
    <hyperlink display="https://my.zakupki.prom.ua/remote/dispatcher/state_purchase_view/17775022" ref="B47" r:id="rId84"/>
    <hyperlink display="https://my.zakupki.prom.ua/remote/dispatcher/state_contracting_view/4781084" ref="D47" r:id="rId85"/>
    <hyperlink display="https://my.zakupki.prom.ua/remote/dispatcher/state_purchase_view/17488939" ref="B48" r:id="rId86"/>
    <hyperlink display="https://my.zakupki.prom.ua/remote/dispatcher/state_contracting_view/4647888" ref="D48" r:id="rId87"/>
    <hyperlink display="https://my.zakupki.prom.ua/remote/dispatcher/state_purchase_view/17647140" ref="B49" r:id="rId88"/>
    <hyperlink display="https://my.zakupki.prom.ua/remote/dispatcher/state_contracting_view/4721709" ref="D49" r:id="rId89"/>
    <hyperlink display="https://my.zakupki.prom.ua/remote/dispatcher/state_purchase_view/17769188" ref="B50" r:id="rId90"/>
    <hyperlink display="https://my.zakupki.prom.ua/remote/dispatcher/state_contracting_view/4778050" ref="D50" r:id="rId91"/>
    <hyperlink display="https://my.zakupki.prom.ua/remote/dispatcher/state_purchase_view/17699268" ref="B51" r:id="rId92"/>
    <hyperlink display="https://my.zakupki.prom.ua/remote/dispatcher/state_contracting_view/4745594" ref="D51" r:id="rId93"/>
    <hyperlink display="https://my.zakupki.prom.ua/remote/dispatcher/state_purchase_view/19512216" ref="B52" r:id="rId94"/>
    <hyperlink display="https://my.zakupki.prom.ua/remote/dispatcher/state_contracting_view/5598208" ref="D52" r:id="rId95"/>
    <hyperlink display="https://my.zakupki.prom.ua/remote/dispatcher/state_purchase_view/21591753" ref="B53" r:id="rId96"/>
    <hyperlink display="https://my.zakupki.prom.ua/remote/dispatcher/state_contracting_view/6583742" ref="D53" r:id="rId97"/>
    <hyperlink display="https://my.zakupki.prom.ua/remote/dispatcher/state_purchase_view/21317261" ref="B54" r:id="rId98"/>
    <hyperlink display="https://my.zakupki.prom.ua/remote/dispatcher/state_contracting_view/6455519" ref="D54" r:id="rId99"/>
    <hyperlink display="https://my.zakupki.prom.ua/remote/dispatcher/state_purchase_view/21328626" ref="B55" r:id="rId100"/>
    <hyperlink display="https://my.zakupki.prom.ua/remote/dispatcher/state_contracting_view/6460383" ref="D55" r:id="rId101"/>
    <hyperlink display="https://my.zakupki.prom.ua/remote/dispatcher/state_purchase_view/21323747" ref="B56" r:id="rId102"/>
    <hyperlink display="https://my.zakupki.prom.ua/remote/dispatcher/state_contracting_view/6459093" ref="D56" r:id="rId103"/>
    <hyperlink display="https://my.zakupki.prom.ua/remote/dispatcher/state_purchase_view/22749043" ref="B57" r:id="rId104"/>
    <hyperlink display="https://my.zakupki.prom.ua/remote/dispatcher/state_contracting_view/7138694" ref="D57" r:id="rId105"/>
    <hyperlink display="https://my.zakupki.prom.ua/remote/dispatcher/state_purchase_view/20674391" ref="B58" r:id="rId106"/>
    <hyperlink display="https://my.zakupki.prom.ua/remote/dispatcher/state_contracting_view/6153019" ref="D58" r:id="rId107"/>
    <hyperlink display="https://my.zakupki.prom.ua/remote/dispatcher/state_purchase_view/20651715" ref="B59" r:id="rId108"/>
    <hyperlink display="https://my.zakupki.prom.ua/remote/dispatcher/state_contracting_view/6142355" ref="D59" r:id="rId109"/>
    <hyperlink display="https://my.zakupki.prom.ua/remote/dispatcher/state_purchase_view/20779482" ref="B60" r:id="rId110"/>
    <hyperlink display="https://my.zakupki.prom.ua/remote/dispatcher/state_contracting_view/6203164" ref="D60" r:id="rId111"/>
    <hyperlink display="https://my.zakupki.prom.ua/remote/dispatcher/state_purchase_view/20276021" ref="B61" r:id="rId112"/>
    <hyperlink display="https://my.zakupki.prom.ua/remote/dispatcher/state_contracting_view/5959003" ref="D61" r:id="rId113"/>
    <hyperlink display="https://my.zakupki.prom.ua/remote/dispatcher/state_purchase_view/20877029" ref="B62" r:id="rId114"/>
    <hyperlink display="https://my.zakupki.prom.ua/remote/dispatcher/state_contracting_view/6249711" ref="D62" r:id="rId115"/>
    <hyperlink display="https://my.zakupki.prom.ua/remote/dispatcher/state_purchase_view/20875905" ref="B63" r:id="rId116"/>
    <hyperlink display="https://my.zakupki.prom.ua/remote/dispatcher/state_contracting_view/6248889" ref="D63" r:id="rId117"/>
    <hyperlink display="https://my.zakupki.prom.ua/remote/dispatcher/state_purchase_view/20828869" ref="B64" r:id="rId118"/>
    <hyperlink display="https://my.zakupki.prom.ua/remote/dispatcher/state_contracting_view/6226052" ref="D64" r:id="rId119"/>
    <hyperlink display="https://my.zakupki.prom.ua/remote/dispatcher/state_purchase_view/20742554" ref="B65" r:id="rId120"/>
    <hyperlink display="https://my.zakupki.prom.ua/remote/dispatcher/state_contracting_view/6185308" ref="D65" r:id="rId121"/>
    <hyperlink display="https://my.zakupki.prom.ua/remote/dispatcher/state_purchase_view/21159284" ref="B66" r:id="rId122"/>
    <hyperlink display="https://my.zakupki.prom.ua/remote/dispatcher/state_contracting_view/6382049" ref="D66" r:id="rId123"/>
    <hyperlink display="https://my.zakupki.prom.ua/remote/dispatcher/state_purchase_view/21205574" ref="B67" r:id="rId124"/>
    <hyperlink display="https://my.zakupki.prom.ua/remote/dispatcher/state_contracting_view/6402989" ref="D67" r:id="rId125"/>
    <hyperlink display="https://my.zakupki.prom.ua/remote/dispatcher/state_purchase_view/20935759" ref="B68" r:id="rId126"/>
    <hyperlink display="https://my.zakupki.prom.ua/remote/dispatcher/state_contracting_view/6277529" ref="D68" r:id="rId127"/>
    <hyperlink display="https://my.zakupki.prom.ua/remote/dispatcher/state_purchase_view/15858044" ref="B69" r:id="rId128"/>
    <hyperlink display="https://my.zakupki.prom.ua/remote/dispatcher/state_contracting_view/3970756" ref="D69" r:id="rId129"/>
    <hyperlink display="https://my.zakupki.prom.ua/remote/dispatcher/state_purchase_view/15939572" ref="B70" r:id="rId130"/>
    <hyperlink display="https://my.zakupki.prom.ua/remote/dispatcher/state_contracting_view/3995067" ref="D70" r:id="rId131"/>
    <hyperlink display="https://my.zakupki.prom.ua/remote/dispatcher/state_purchase_view/15673760" ref="B71" r:id="rId132"/>
    <hyperlink display="https://my.zakupki.prom.ua/remote/dispatcher/state_contracting_view/3910896" ref="D71" r:id="rId133"/>
    <hyperlink display="https://my.zakupki.prom.ua/remote/dispatcher/state_purchase_view/15189467" ref="B72" r:id="rId134"/>
    <hyperlink display="https://my.zakupki.prom.ua/remote/dispatcher/state_contracting_view/3774519" ref="D72" r:id="rId135"/>
    <hyperlink display="https://my.zakupki.prom.ua/remote/dispatcher/state_purchase_view/15970783" ref="B73" r:id="rId136"/>
    <hyperlink display="https://my.zakupki.prom.ua/remote/dispatcher/state_contracting_view/4005045" ref="D73" r:id="rId137"/>
    <hyperlink display="https://my.zakupki.prom.ua/remote/dispatcher/state_purchase_view/16006186" ref="B74" r:id="rId138"/>
    <hyperlink display="https://my.zakupki.prom.ua/remote/dispatcher/state_contracting_view/4017237" ref="D74" r:id="rId139"/>
    <hyperlink display="https://my.zakupki.prom.ua/remote/dispatcher/state_purchase_view/15706508" ref="B75" r:id="rId140"/>
    <hyperlink display="https://my.zakupki.prom.ua/remote/dispatcher/state_contracting_view/3920820" ref="D75" r:id="rId141"/>
    <hyperlink display="https://my.zakupki.prom.ua/remote/dispatcher/state_purchase_view/15678342" ref="B76" r:id="rId142"/>
    <hyperlink display="https://my.zakupki.prom.ua/remote/dispatcher/state_contracting_view/3912446" ref="D76" r:id="rId143"/>
    <hyperlink display="https://my.zakupki.prom.ua/remote/dispatcher/state_purchase_view/15689743" ref="B77" r:id="rId144"/>
    <hyperlink display="https://my.zakupki.prom.ua/remote/dispatcher/state_contracting_view/3916061" ref="D77" r:id="rId145"/>
    <hyperlink display="https://my.zakupki.prom.ua/remote/dispatcher/state_purchase_view/17852338" ref="B78" r:id="rId146"/>
    <hyperlink display="https://my.zakupki.prom.ua/remote/dispatcher/state_contracting_view/4817019" ref="D78" r:id="rId147"/>
    <hyperlink display="https://my.zakupki.prom.ua/remote/dispatcher/state_purchase_view/17969807" ref="B79" r:id="rId148"/>
    <hyperlink display="https://my.zakupki.prom.ua/remote/dispatcher/state_contracting_view/4871410" ref="D79" r:id="rId149"/>
    <hyperlink display="https://my.zakupki.prom.ua/remote/dispatcher/state_purchase_view/19569489" ref="B80" r:id="rId150"/>
    <hyperlink display="https://my.zakupki.prom.ua/remote/dispatcher/state_contracting_view/5625735" ref="D80" r:id="rId151"/>
    <hyperlink display="https://my.zakupki.prom.ua/remote/dispatcher/state_purchase_view/19510658" ref="B81" r:id="rId152"/>
    <hyperlink display="https://my.zakupki.prom.ua/remote/dispatcher/state_contracting_view/5597699" ref="D81" r:id="rId153"/>
    <hyperlink display="https://my.zakupki.prom.ua/remote/dispatcher/state_purchase_view/19511165" ref="B82" r:id="rId154"/>
    <hyperlink display="https://my.zakupki.prom.ua/remote/dispatcher/state_contracting_view/5597732" ref="D82" r:id="rId155"/>
    <hyperlink display="https://my.zakupki.prom.ua/remote/dispatcher/state_purchase_view/19512799" ref="B83" r:id="rId156"/>
    <hyperlink display="https://my.zakupki.prom.ua/remote/dispatcher/state_contracting_view/5598305" ref="D83" r:id="rId157"/>
    <hyperlink display="https://my.zakupki.prom.ua/remote/dispatcher/state_purchase_view/19514143" ref="B84" r:id="rId158"/>
    <hyperlink display="https://my.zakupki.prom.ua/remote/dispatcher/state_contracting_view/5599066" ref="D84" r:id="rId159"/>
    <hyperlink display="https://my.zakupki.prom.ua/remote/dispatcher/state_purchase_view/19443745" ref="B85" r:id="rId160"/>
    <hyperlink display="https://my.zakupki.prom.ua/remote/dispatcher/state_contracting_view/5565678" ref="D85" r:id="rId161"/>
    <hyperlink display="https://my.zakupki.prom.ua/remote/dispatcher/state_purchase_view/18861475" ref="B86" r:id="rId162"/>
    <hyperlink display="https://my.zakupki.prom.ua/remote/dispatcher/state_contracting_view/5656058" ref="D86" r:id="rId163"/>
    <hyperlink display="https://my.zakupki.prom.ua/remote/dispatcher/state_purchase_view/19636753" ref="B87" r:id="rId164"/>
    <hyperlink display="https://my.zakupki.prom.ua/remote/dispatcher/state_contracting_view/5659123" ref="D87" r:id="rId165"/>
    <hyperlink display="https://my.zakupki.prom.ua/remote/dispatcher/state_purchase_view/19733275" ref="B88" r:id="rId166"/>
    <hyperlink display="https://my.zakupki.prom.ua/remote/dispatcher/state_contracting_view/5703242" ref="D88" r:id="rId167"/>
    <hyperlink display="https://my.zakupki.prom.ua/remote/dispatcher/state_purchase_view/15138544" ref="B89" r:id="rId168"/>
    <hyperlink display="https://my.zakupki.prom.ua/remote/dispatcher/state_contracting_view/3762293" ref="D89" r:id="rId169"/>
    <hyperlink display="https://my.zakupki.prom.ua/remote/dispatcher/state_purchase_view/17132035" ref="B90" r:id="rId170"/>
    <hyperlink display="https://my.zakupki.prom.ua/remote/dispatcher/state_contracting_view/4484994" ref="D90" r:id="rId171"/>
    <hyperlink display="https://my.zakupki.prom.ua/remote/dispatcher/state_purchase_view/17488614" ref="B91" r:id="rId172"/>
    <hyperlink display="https://my.zakupki.prom.ua/remote/dispatcher/state_contracting_view/4647734" ref="D91" r:id="rId173"/>
    <hyperlink display="https://my.zakupki.prom.ua/remote/dispatcher/state_purchase_view/17772913" ref="B92" r:id="rId174"/>
    <hyperlink display="https://my.zakupki.prom.ua/remote/dispatcher/state_contracting_view/4779820" ref="D92" r:id="rId175"/>
    <hyperlink display="https://my.zakupki.prom.ua/remote/dispatcher/state_purchase_view/17721831" ref="B93" r:id="rId176"/>
    <hyperlink display="https://my.zakupki.prom.ua/remote/dispatcher/state_contracting_view/4756192" ref="D93" r:id="rId177"/>
    <hyperlink display="https://my.zakupki.prom.ua/remote/dispatcher/state_purchase_view/17709812" ref="B94" r:id="rId178"/>
    <hyperlink display="https://my.zakupki.prom.ua/remote/dispatcher/state_contracting_view/4750317" ref="D94" r:id="rId179"/>
    <hyperlink display="https://my.zakupki.prom.ua/remote/dispatcher/state_purchase_view/17703443" ref="B95" r:id="rId180"/>
    <hyperlink display="https://my.zakupki.prom.ua/remote/dispatcher/state_contracting_view/4747691" ref="D95" r:id="rId181"/>
    <hyperlink display="https://my.zakupki.prom.ua/remote/dispatcher/state_purchase_view/20206290" ref="B96" r:id="rId182"/>
    <hyperlink display="https://my.zakupki.prom.ua/remote/dispatcher/state_contracting_view/5925881" ref="D96" r:id="rId183"/>
    <hyperlink display="https://my.zakupki.prom.ua/remote/dispatcher/state_purchase_view/20131505" ref="B97" r:id="rId184"/>
    <hyperlink display="https://my.zakupki.prom.ua/remote/dispatcher/state_contracting_view/5890700" ref="D97" r:id="rId185"/>
    <hyperlink display="https://my.zakupki.prom.ua/remote/dispatcher/state_purchase_view/20118768" ref="B98" r:id="rId186"/>
    <hyperlink display="https://my.zakupki.prom.ua/remote/dispatcher/state_contracting_view/5888940" ref="D98" r:id="rId187"/>
    <hyperlink display="https://my.zakupki.prom.ua/remote/dispatcher/state_purchase_view/20016087" ref="B99" r:id="rId188"/>
    <hyperlink display="https://my.zakupki.prom.ua/remote/dispatcher/state_contracting_view/5834791" ref="D99" r:id="rId189"/>
    <hyperlink display="https://my.zakupki.prom.ua/remote/dispatcher/state_purchase_view/20015075" ref="B100" r:id="rId190"/>
    <hyperlink display="https://my.zakupki.prom.ua/remote/dispatcher/state_contracting_view/5834404" ref="D100" r:id="rId191"/>
    <hyperlink display="https://my.zakupki.prom.ua/remote/dispatcher/state_purchase_view/19793845" ref="B101" r:id="rId192"/>
    <hyperlink display="https://my.zakupki.prom.ua/remote/dispatcher/state_contracting_view/5731356" ref="D101" r:id="rId193"/>
    <hyperlink display="https://my.zakupki.prom.ua/remote/dispatcher/state_purchase_view/19884776" ref="B102" r:id="rId194"/>
    <hyperlink display="https://my.zakupki.prom.ua/remote/dispatcher/state_contracting_view/5773746" ref="D102" r:id="rId195"/>
    <hyperlink display="https://my.zakupki.prom.ua/remote/dispatcher/state_purchase_view/19884173" ref="B103" r:id="rId196"/>
    <hyperlink display="https://my.zakupki.prom.ua/remote/dispatcher/state_contracting_view/5773461" ref="D103" r:id="rId197"/>
    <hyperlink display="https://my.zakupki.prom.ua/remote/dispatcher/state_purchase_view/19886037" ref="B104" r:id="rId198"/>
    <hyperlink display="https://my.zakupki.prom.ua/remote/dispatcher/state_contracting_view/5774503" ref="D104" r:id="rId199"/>
    <hyperlink display="https://my.zakupki.prom.ua/remote/dispatcher/state_purchase_view/20241985" ref="B105" r:id="rId200"/>
    <hyperlink display="https://my.zakupki.prom.ua/remote/dispatcher/state_contracting_view/5943388" ref="D105" r:id="rId201"/>
    <hyperlink display="https://my.zakupki.prom.ua/remote/dispatcher/state_purchase_view/18823365" ref="B106" r:id="rId202"/>
    <hyperlink display="https://my.zakupki.prom.ua/remote/dispatcher/state_contracting_view/5273029" ref="D106" r:id="rId203"/>
    <hyperlink display="https://my.zakupki.prom.ua/remote/dispatcher/state_purchase_view/18631208" ref="B107" r:id="rId204"/>
    <hyperlink display="https://my.zakupki.prom.ua/remote/dispatcher/state_contracting_view/5429226" ref="D107" r:id="rId205"/>
    <hyperlink display="https://my.zakupki.prom.ua/remote/dispatcher/state_purchase_view/19032483" ref="B108" r:id="rId206"/>
    <hyperlink display="https://my.zakupki.prom.ua/remote/dispatcher/state_contracting_view/5447435" ref="D108" r:id="rId207"/>
    <hyperlink display="https://my.zakupki.prom.ua/remote/dispatcher/state_purchase_view/19115189" ref="B109" r:id="rId208"/>
    <hyperlink display="https://my.zakupki.prom.ua/remote/dispatcher/state_contracting_view/5411292" ref="D109" r:id="rId209"/>
    <hyperlink display="https://my.zakupki.prom.ua/remote/dispatcher/state_purchase_view/16859760" ref="B110" r:id="rId210"/>
    <hyperlink display="https://my.zakupki.prom.ua/remote/dispatcher/state_contracting_view/4367312" ref="D110" r:id="rId211"/>
    <hyperlink display="https://my.zakupki.prom.ua/remote/dispatcher/state_purchase_view/17223021" ref="B111" r:id="rId212"/>
    <hyperlink display="https://my.zakupki.prom.ua/remote/dispatcher/state_contracting_view/4525229" ref="D111" r:id="rId213"/>
    <hyperlink display="https://my.zakupki.prom.ua/remote/dispatcher/state_purchase_view/17221059" ref="B112" r:id="rId214"/>
    <hyperlink display="https://my.zakupki.prom.ua/remote/dispatcher/state_contracting_view/4524284" ref="D112" r:id="rId215"/>
    <hyperlink display="https://my.zakupki.prom.ua/remote/dispatcher/state_purchase_view/17292825" ref="B113" r:id="rId216"/>
    <hyperlink display="https://my.zakupki.prom.ua/remote/dispatcher/state_contracting_view/4556866" ref="D113" r:id="rId217"/>
    <hyperlink display="https://my.zakupki.prom.ua/remote/dispatcher/state_purchase_view/17284097" ref="B114" r:id="rId218"/>
    <hyperlink display="https://my.zakupki.prom.ua/remote/dispatcher/state_contracting_view/4552973" ref="D114" r:id="rId219"/>
    <hyperlink display="https://my.zakupki.prom.ua/remote/dispatcher/state_purchase_view/16917213" ref="B115" r:id="rId220"/>
    <hyperlink display="https://my.zakupki.prom.ua/remote/dispatcher/state_contracting_view/4386178" ref="D115" r:id="rId221"/>
    <hyperlink display="https://my.zakupki.prom.ua/remote/dispatcher/state_purchase_view/18443954" ref="B116" r:id="rId222"/>
    <hyperlink display="https://my.zakupki.prom.ua/remote/dispatcher/state_contracting_view/5092561" ref="D116" r:id="rId223"/>
    <hyperlink display="https://my.zakupki.prom.ua/remote/dispatcher/state_purchase_view/18543525" ref="B117" r:id="rId224"/>
    <hyperlink display="https://my.zakupki.prom.ua/remote/dispatcher/state_contracting_view/5139101" ref="D117" r:id="rId225"/>
    <hyperlink display="https://my.zakupki.prom.ua/remote/dispatcher/state_purchase_view/18473454" ref="B118" r:id="rId226"/>
    <hyperlink display="https://my.zakupki.prom.ua/remote/dispatcher/state_contracting_view/5106252" ref="D118" r:id="rId227"/>
    <hyperlink display="https://my.zakupki.prom.ua/remote/dispatcher/state_purchase_view/18481974" ref="B119" r:id="rId228"/>
    <hyperlink display="https://my.zakupki.prom.ua/remote/dispatcher/state_contracting_view/5110516" ref="D119" r:id="rId229"/>
    <hyperlink display="https://my.zakupki.prom.ua/remote/dispatcher/state_purchase_view/18478663" ref="B120" r:id="rId230"/>
    <hyperlink display="https://my.zakupki.prom.ua/remote/dispatcher/state_contracting_view/5113435" ref="D120" r:id="rId231"/>
    <hyperlink display="https://my.zakupki.prom.ua/remote/dispatcher/state_purchase_view/18611950" ref="B121" r:id="rId232"/>
    <hyperlink display="https://my.zakupki.prom.ua/remote/dispatcher/state_contracting_view/5235550" ref="D121" r:id="rId233"/>
    <hyperlink display="https://my.zakupki.prom.ua/remote/dispatcher/state_purchase_view/18788209" ref="B122" r:id="rId234"/>
    <hyperlink display="https://my.zakupki.prom.ua/remote/dispatcher/state_contracting_view/5255871" ref="D122" r:id="rId235"/>
    <hyperlink display="https://my.zakupki.prom.ua/remote/dispatcher/state_purchase_view/18795339" ref="B123" r:id="rId236"/>
    <hyperlink display="https://my.zakupki.prom.ua/remote/dispatcher/state_contracting_view/5259662" ref="D123" r:id="rId237"/>
    <hyperlink display="https://my.zakupki.prom.ua/remote/dispatcher/state_purchase_view/17885206" ref="B124" r:id="rId238"/>
    <hyperlink display="https://my.zakupki.prom.ua/remote/dispatcher/state_contracting_view/4832002" ref="D124" r:id="rId239"/>
    <hyperlink display="https://my.zakupki.prom.ua/remote/dispatcher/state_purchase_view/18046479" ref="B125" r:id="rId240"/>
    <hyperlink display="https://my.zakupki.prom.ua/remote/dispatcher/state_contracting_view/4907381" ref="D125" r:id="rId241"/>
    <hyperlink display="https://my.zakupki.prom.ua/remote/dispatcher/state_purchase_view/18338462" ref="B126" r:id="rId242"/>
    <hyperlink display="https://my.zakupki.prom.ua/remote/dispatcher/state_contracting_view/5042758" ref="D126" r:id="rId243"/>
    <hyperlink display="https://my.zakupki.prom.ua/remote/dispatcher/state_purchase_view/18339378" ref="B127" r:id="rId244"/>
    <hyperlink display="https://my.zakupki.prom.ua/remote/dispatcher/state_contracting_view/5043517" ref="D127" r:id="rId245"/>
    <hyperlink display="https://my.zakupki.prom.ua/remote/dispatcher/state_purchase_view/20464205" ref="B128" r:id="rId246"/>
    <hyperlink display="https://my.zakupki.prom.ua/remote/dispatcher/state_contracting_view/6051569" ref="D128" r:id="rId247"/>
    <hyperlink display="https://my.zakupki.prom.ua/remote/dispatcher/state_purchase_view/20623632" ref="B129" r:id="rId248"/>
    <hyperlink display="https://my.zakupki.prom.ua/remote/dispatcher/state_contracting_view/6129577" ref="D129" r:id="rId249"/>
    <hyperlink display="https://my.zakupki.prom.ua/remote/dispatcher/state_purchase_view/20585404" ref="B130" r:id="rId250"/>
    <hyperlink display="https://my.zakupki.prom.ua/remote/dispatcher/state_contracting_view/6111576" ref="D130" r:id="rId251"/>
    <hyperlink display="https://my.zakupki.prom.ua/remote/dispatcher/state_purchase_view/20599481" ref="B131" r:id="rId252"/>
    <hyperlink display="https://my.zakupki.prom.ua/remote/dispatcher/state_contracting_view/6118030" ref="D131" r:id="rId253"/>
    <hyperlink display="https://my.zakupki.prom.ua/remote/dispatcher/state_purchase_view/20681660" ref="B132" r:id="rId254"/>
    <hyperlink display="https://my.zakupki.prom.ua/remote/dispatcher/state_contracting_view/6156229" ref="D132" r:id="rId255"/>
    <hyperlink display="https://my.zakupki.prom.ua/remote/dispatcher/state_purchase_view/20682021" ref="B133" r:id="rId256"/>
    <hyperlink display="https://my.zakupki.prom.ua/remote/dispatcher/state_contracting_view/6156276" ref="D133" r:id="rId257"/>
    <hyperlink display="https://my.zakupki.prom.ua/remote/dispatcher/state_purchase_view/20672897" ref="B134" r:id="rId258"/>
    <hyperlink display="https://my.zakupki.prom.ua/remote/dispatcher/state_contracting_view/6152715" ref="D134" r:id="rId259"/>
    <hyperlink display="https://my.zakupki.prom.ua/remote/dispatcher/state_purchase_view/19699874" ref="B135" r:id="rId260"/>
    <hyperlink display="https://my.zakupki.prom.ua/remote/dispatcher/state_contracting_view/6227790" ref="D135" r:id="rId261"/>
    <hyperlink display="https://my.zakupki.prom.ua/remote/dispatcher/state_purchase_view/20980955" ref="B136" r:id="rId262"/>
    <hyperlink display="https://my.zakupki.prom.ua/remote/dispatcher/state_contracting_view/6298864" ref="D136" r:id="rId263"/>
    <hyperlink display="https://my.zakupki.prom.ua/remote/dispatcher/state_purchase_view/20986438" ref="B137" r:id="rId264"/>
    <hyperlink display="https://my.zakupki.prom.ua/remote/dispatcher/state_contracting_view/6301557" ref="D137" r:id="rId265"/>
    <hyperlink display="https://my.zakupki.prom.ua/remote/dispatcher/state_purchase_view/20985047" ref="B138" r:id="rId266"/>
    <hyperlink display="https://my.zakupki.prom.ua/remote/dispatcher/state_contracting_view/6301102" ref="D138" r:id="rId267"/>
    <hyperlink display="https://my.zakupki.prom.ua/remote/dispatcher/state_purchase_view/20987218" ref="B139" r:id="rId268"/>
    <hyperlink display="https://my.zakupki.prom.ua/remote/dispatcher/state_contracting_view/6302128" ref="D139" r:id="rId269"/>
    <hyperlink display="https://my.zakupki.prom.ua/remote/dispatcher/state_purchase_view/17563449" ref="B140" r:id="rId270"/>
    <hyperlink display="https://my.zakupki.prom.ua/remote/dispatcher/state_contracting_view/4683161" ref="D140" r:id="rId271"/>
    <hyperlink display="https://my.zakupki.prom.ua/remote/dispatcher/state_purchase_view/17575442" ref="B141" r:id="rId272"/>
    <hyperlink display="https://my.zakupki.prom.ua/remote/dispatcher/state_contracting_view/4688357" ref="D141" r:id="rId273"/>
    <hyperlink display="https://my.zakupki.prom.ua/remote/dispatcher/state_purchase_view/17564839" ref="B142" r:id="rId274"/>
    <hyperlink display="https://my.zakupki.prom.ua/remote/dispatcher/state_contracting_view/4685813" ref="D142" r:id="rId275"/>
    <hyperlink display="https://my.zakupki.prom.ua/remote/dispatcher/state_purchase_view/21113476" ref="B143" r:id="rId276"/>
    <hyperlink display="https://my.zakupki.prom.ua/remote/dispatcher/state_contracting_view/6360539" ref="D143" r:id="rId277"/>
    <hyperlink display="https://my.zakupki.prom.ua/remote/dispatcher/state_purchase_view/21146520" ref="B144" r:id="rId278"/>
    <hyperlink display="https://my.zakupki.prom.ua/remote/dispatcher/state_contracting_view/6376646" ref="D144" r:id="rId279"/>
    <hyperlink display="https://my.zakupki.prom.ua/remote/dispatcher/state_purchase_view/21174820" ref="B145" r:id="rId280"/>
    <hyperlink display="https://my.zakupki.prom.ua/remote/dispatcher/state_contracting_view/6389319" ref="D145" r:id="rId281"/>
    <hyperlink display="https://my.zakupki.prom.ua/remote/dispatcher/state_purchase_view/22427833" ref="B146" r:id="rId282"/>
    <hyperlink display="https://my.zakupki.prom.ua/remote/dispatcher/state_contracting_view/6981555" ref="D146" r:id="rId283"/>
    <hyperlink display="https://my.zakupki.prom.ua/remote/dispatcher/state_purchase_view/22097704" ref="B147" r:id="rId284"/>
    <hyperlink display="https://my.zakupki.prom.ua/remote/dispatcher/state_contracting_view/6821633" ref="D147" r:id="rId285"/>
    <hyperlink display="https://my.zakupki.prom.ua/remote/dispatcher/state_purchase_view/22747682" ref="B148" r:id="rId286"/>
    <hyperlink display="https://my.zakupki.prom.ua/remote/dispatcher/state_contracting_view/7137844" ref="D148" r:id="rId287"/>
    <hyperlink display="https://my.zakupki.prom.ua/remote/dispatcher/state_purchase_view/21147572" ref="B149" r:id="rId288"/>
    <hyperlink display="https://my.zakupki.prom.ua/remote/dispatcher/state_contracting_view/6376798" ref="D149" r:id="rId289"/>
    <hyperlink display="https://my.zakupki.prom.ua/remote/dispatcher/state_purchase_view/21172165" ref="B150" r:id="rId290"/>
    <hyperlink display="https://my.zakupki.prom.ua/remote/dispatcher/state_contracting_view/6387672" ref="D150" r:id="rId291"/>
    <hyperlink display="https://my.zakupki.prom.ua/remote/dispatcher/state_purchase_view/21585706" ref="B151" r:id="rId292"/>
    <hyperlink display="https://my.zakupki.prom.ua/remote/dispatcher/state_contracting_view/6581066" ref="D151" r:id="rId293"/>
    <hyperlink display="https://my.zakupki.prom.ua/remote/dispatcher/state_purchase_view/21104873" ref="B152" r:id="rId294"/>
    <hyperlink display="https://my.zakupki.prom.ua/remote/dispatcher/state_contracting_view/6356266" ref="D152" r:id="rId295"/>
    <hyperlink display="https://my.zakupki.prom.ua/remote/dispatcher/state_purchase_view/15494469" ref="B153" r:id="rId296"/>
    <hyperlink display="https://my.zakupki.prom.ua/remote/dispatcher/state_contracting_view/3929293" ref="D153" r:id="rId297"/>
    <hyperlink display="https://my.zakupki.prom.ua/remote/dispatcher/state_purchase_view/15396816" ref="B154" r:id="rId298"/>
    <hyperlink display="https://my.zakupki.prom.ua/remote/dispatcher/state_contracting_view/3830084" ref="D154" r:id="rId299"/>
    <hyperlink display="https://my.zakupki.prom.ua/remote/dispatcher/state_purchase_view/15398137" ref="B155" r:id="rId300"/>
    <hyperlink display="https://my.zakupki.prom.ua/remote/dispatcher/state_contracting_view/3830524" ref="D155" r:id="rId301"/>
    <hyperlink display="https://my.zakupki.prom.ua/remote/dispatcher/state_purchase_view/14989658" ref="B156" r:id="rId302"/>
    <hyperlink display="https://my.zakupki.prom.ua/remote/dispatcher/state_contracting_view/3726420" ref="D156" r:id="rId303"/>
    <hyperlink display="https://my.zakupki.prom.ua/remote/dispatcher/state_purchase_view/15698874" ref="B157" r:id="rId304"/>
    <hyperlink display="https://my.zakupki.prom.ua/remote/dispatcher/state_contracting_view/3918723" ref="D157" r:id="rId305"/>
    <hyperlink display="https://my.zakupki.prom.ua/remote/dispatcher/state_purchase_view/16393192" ref="B158" r:id="rId306"/>
    <hyperlink display="https://my.zakupki.prom.ua/remote/dispatcher/state_contracting_view/4154231" ref="D158" r:id="rId307"/>
    <hyperlink display="https://my.zakupki.prom.ua/remote/dispatcher/state_purchase_view/16860308" ref="B159" r:id="rId308"/>
    <hyperlink display="https://my.zakupki.prom.ua/remote/dispatcher/state_contracting_view/4367207" ref="D159" r:id="rId309"/>
    <hyperlink display="https://my.zakupki.prom.ua/remote/dispatcher/state_purchase_view/16877704" ref="B160" r:id="rId310"/>
    <hyperlink display="https://my.zakupki.prom.ua/remote/dispatcher/state_contracting_view/4368175" ref="D160" r:id="rId311"/>
    <hyperlink display="https://my.zakupki.prom.ua/remote/dispatcher/state_purchase_view/15673392" ref="B161" r:id="rId312"/>
    <hyperlink display="https://my.zakupki.prom.ua/remote/dispatcher/state_contracting_view/3910752" ref="D161" r:id="rId313"/>
    <hyperlink display="https://my.zakupki.prom.ua/remote/dispatcher/state_purchase_view/16509428" ref="B162" r:id="rId314"/>
    <hyperlink display="https://my.zakupki.prom.ua/remote/dispatcher/state_contracting_view/4206012" ref="D162" r:id="rId315"/>
    <hyperlink display="https://my.zakupki.prom.ua/remote/dispatcher/state_purchase_view/16206470" ref="B163" r:id="rId316"/>
    <hyperlink display="https://my.zakupki.prom.ua/remote/dispatcher/state_contracting_view/4124310" ref="D163" r:id="rId317"/>
    <hyperlink display="https://my.zakupki.prom.ua/remote/dispatcher/state_purchase_view/16402499" ref="B164" r:id="rId318"/>
    <hyperlink display="https://my.zakupki.prom.ua/remote/dispatcher/state_contracting_view/4157797" ref="D164" r:id="rId319"/>
    <hyperlink display="https://my.zakupki.prom.ua/remote/dispatcher/state_purchase_view/16408279" ref="B165" r:id="rId320"/>
    <hyperlink display="https://my.zakupki.prom.ua/remote/dispatcher/state_contracting_view/4159496" ref="D165" r:id="rId321"/>
    <hyperlink display="https://my.zakupki.prom.ua/remote/dispatcher/state_purchase_view/17235370" ref="B166" r:id="rId322"/>
    <hyperlink display="https://my.zakupki.prom.ua/remote/dispatcher/state_contracting_view/4530803" ref="D166" r:id="rId323"/>
    <hyperlink display="https://my.zakupki.prom.ua/remote/dispatcher/state_purchase_view/17727352" ref="B167" r:id="rId324"/>
    <hyperlink display="https://my.zakupki.prom.ua/remote/dispatcher/state_contracting_view/4758824" ref="D167" r:id="rId325"/>
    <hyperlink display="https://my.zakupki.prom.ua/remote/dispatcher/state_purchase_view/17670887" ref="B168" r:id="rId326"/>
    <hyperlink display="https://my.zakupki.prom.ua/remote/dispatcher/state_contracting_view/4732666" ref="D168" r:id="rId327"/>
    <hyperlink display="https://my.zakupki.prom.ua/remote/dispatcher/state_purchase_view/18848444" ref="B169" r:id="rId328"/>
    <hyperlink display="https://my.zakupki.prom.ua/remote/dispatcher/state_contracting_view/5285481" ref="D169" r:id="rId329"/>
    <hyperlink display="https://my.zakupki.prom.ua/remote/dispatcher/state_purchase_view/17982144" ref="B170" r:id="rId330"/>
    <hyperlink display="https://my.zakupki.prom.ua/remote/dispatcher/state_contracting_view/4877473" ref="D170" r:id="rId331"/>
    <hyperlink display="https://my.zakupki.prom.ua/remote/dispatcher/state_purchase_view/18981684" ref="B171" r:id="rId332"/>
    <hyperlink display="https://my.zakupki.prom.ua/remote/dispatcher/state_contracting_view/5347167" ref="D171" r:id="rId333"/>
    <hyperlink display="https://my.zakupki.prom.ua/remote/dispatcher/state_purchase_view/18983590" ref="B172" r:id="rId334"/>
    <hyperlink display="https://my.zakupki.prom.ua/remote/dispatcher/state_contracting_view/5348349" ref="D172" r:id="rId335"/>
    <hyperlink display="https://my.zakupki.prom.ua/remote/dispatcher/state_purchase_view/19047007" ref="B173" r:id="rId336"/>
    <hyperlink display="https://my.zakupki.prom.ua/remote/dispatcher/state_contracting_view/5378162" ref="D173" r:id="rId337"/>
    <hyperlink display="https://my.zakupki.prom.ua/remote/dispatcher/state_purchase_view/19696698" ref="B174" r:id="rId338"/>
    <hyperlink display="https://my.zakupki.prom.ua/remote/dispatcher/state_contracting_view/5686819" ref="D174" r:id="rId339"/>
    <hyperlink display="https://my.zakupki.prom.ua/remote/dispatcher/state_purchase_view/19693905" ref="B175" r:id="rId340"/>
    <hyperlink display="https://my.zakupki.prom.ua/remote/dispatcher/state_contracting_view/5685311" ref="D175" r:id="rId341"/>
    <hyperlink display="https://my.zakupki.prom.ua/remote/dispatcher/state_purchase_view/19696153" ref="B176" r:id="rId342"/>
    <hyperlink display="https://my.zakupki.prom.ua/remote/dispatcher/state_contracting_view/5686480" ref="D176" r:id="rId343"/>
    <hyperlink display="https://my.zakupki.prom.ua/remote/dispatcher/state_purchase_view/19924938" ref="B177" r:id="rId344"/>
    <hyperlink display="https://my.zakupki.prom.ua/remote/dispatcher/state_contracting_view/5792257" ref="D177" r:id="rId345"/>
    <hyperlink display="https://my.zakupki.prom.ua/remote/dispatcher/state_purchase_view/19100994" ref="B178" r:id="rId346"/>
    <hyperlink display="https://my.zakupki.prom.ua/remote/dispatcher/state_contracting_view/5840725" ref="D178" r:id="rId347"/>
    <hyperlink display="https://my.zakupki.prom.ua/remote/dispatcher/state_purchase_view/20259691" ref="B179" r:id="rId348"/>
    <hyperlink display="https://my.zakupki.prom.ua/remote/dispatcher/state_contracting_view/5956965" ref="D179" r:id="rId349"/>
    <hyperlink display="https://my.zakupki.prom.ua/remote/dispatcher/state_purchase_view/20205523" ref="B180" r:id="rId350"/>
    <hyperlink display="https://my.zakupki.prom.ua/remote/dispatcher/state_contracting_view/5925432" ref="D180" r:id="rId351"/>
    <hyperlink display="https://my.zakupki.prom.ua/remote/dispatcher/state_purchase_view/20202293" ref="B181" r:id="rId352"/>
    <hyperlink display="https://my.zakupki.prom.ua/remote/dispatcher/state_contracting_view/5924195" ref="D181" r:id="rId353"/>
    <hyperlink display="https://my.zakupki.prom.ua/remote/dispatcher/state_purchase_view/20279744" ref="B182" r:id="rId354"/>
    <hyperlink display="https://my.zakupki.prom.ua/remote/dispatcher/state_contracting_view/5961039" ref="D182" r:id="rId355"/>
    <hyperlink display="https://my.zakupki.prom.ua/remote/dispatcher/state_purchase_view/20532242" ref="B183" r:id="rId356"/>
    <hyperlink display="https://my.zakupki.prom.ua/remote/dispatcher/state_contracting_view/6086036" ref="D183" r:id="rId357"/>
    <hyperlink display="https://my.zakupki.prom.ua/remote/dispatcher/state_purchase_view/20595054" ref="B184" r:id="rId358"/>
    <hyperlink display="https://my.zakupki.prom.ua/remote/dispatcher/state_contracting_view/6115844" ref="D184" r:id="rId359"/>
    <hyperlink display="https://my.zakupki.prom.ua/remote/dispatcher/state_purchase_view/20576984" ref="B185" r:id="rId360"/>
    <hyperlink display="https://my.zakupki.prom.ua/remote/dispatcher/state_contracting_view/6109656" ref="D185" r:id="rId361"/>
    <hyperlink display="https://my.zakupki.prom.ua/remote/dispatcher/state_purchase_view/20881548" ref="B186" r:id="rId362"/>
    <hyperlink display="https://my.zakupki.prom.ua/remote/dispatcher/state_contracting_view/6251699" ref="D186" r:id="rId363"/>
    <hyperlink display="https://my.zakupki.prom.ua/remote/dispatcher/state_purchase_view/18262399" ref="B187" r:id="rId364"/>
    <hyperlink display="https://my.zakupki.prom.ua/remote/dispatcher/state_contracting_view/5076685" ref="D187" r:id="rId365"/>
    <hyperlink display="https://my.zakupki.prom.ua/remote/dispatcher/state_purchase_view/18462094" ref="B188" r:id="rId366"/>
    <hyperlink display="https://my.zakupki.prom.ua/remote/dispatcher/state_contracting_view/5153582" ref="D188" r:id="rId367"/>
    <hyperlink display="https://my.zakupki.prom.ua/remote/dispatcher/state_purchase_view/18456053" ref="B189" r:id="rId368"/>
    <hyperlink display="https://my.zakupki.prom.ua/remote/dispatcher/state_contracting_view/5153615" ref="D189" r:id="rId369"/>
    <hyperlink display="https://my.zakupki.prom.ua/remote/dispatcher/state_purchase_view/18644055" ref="B190" r:id="rId370"/>
    <hyperlink display="https://my.zakupki.prom.ua/remote/dispatcher/state_contracting_view/5186451" ref="D190" r:id="rId371"/>
    <hyperlink display="https://my.zakupki.prom.ua/remote/dispatcher/state_purchase_view/18651821" ref="B191" r:id="rId372"/>
    <hyperlink display="https://my.zakupki.prom.ua/remote/dispatcher/state_contracting_view/5190243" ref="D191" r:id="rId373"/>
    <hyperlink display="https://my.zakupki.prom.ua/remote/dispatcher/state_purchase_view/18618069" ref="B192" r:id="rId374"/>
    <hyperlink display="https://my.zakupki.prom.ua/remote/dispatcher/state_contracting_view/5174203" ref="D192" r:id="rId375"/>
    <hyperlink display="https://my.zakupki.prom.ua/remote/dispatcher/state_purchase_view/19212040" ref="B193" r:id="rId376"/>
    <hyperlink display="https://my.zakupki.prom.ua/remote/dispatcher/state_contracting_view/5455897" ref="D193" r:id="rId377"/>
    <hyperlink display="https://my.zakupki.prom.ua/remote/dispatcher/state_purchase_view/19351865" ref="B194" r:id="rId378"/>
    <hyperlink display="https://my.zakupki.prom.ua/remote/dispatcher/state_contracting_view/5522801" ref="D194" r:id="rId379"/>
    <hyperlink display="https://my.zakupki.prom.ua/remote/dispatcher/state_purchase_view/19424452" ref="B195" r:id="rId380"/>
    <hyperlink display="https://my.zakupki.prom.ua/remote/dispatcher/state_contracting_view/5557208" ref="D195" r:id="rId381"/>
    <hyperlink display="https://my.zakupki.prom.ua/remote/dispatcher/state_purchase_view/17888627" ref="B196" r:id="rId382"/>
    <hyperlink display="https://my.zakupki.prom.ua/remote/dispatcher/state_contracting_view/4833474" ref="D196" r:id="rId383"/>
    <hyperlink display="https://my.zakupki.prom.ua/remote/dispatcher/state_purchase_view/17888943" ref="B197" r:id="rId384"/>
    <hyperlink display="https://my.zakupki.prom.ua/remote/dispatcher/state_contracting_view/4833659" ref="D197" r:id="rId385"/>
    <hyperlink display="https://my.zakupki.prom.ua/remote/dispatcher/state_purchase_view/18027521" ref="B198" r:id="rId386"/>
    <hyperlink display="https://my.zakupki.prom.ua/remote/dispatcher/state_contracting_view/4898773" ref="D198" r:id="rId387"/>
    <hyperlink display="https://my.zakupki.prom.ua/remote/dispatcher/state_purchase_view/18301295" ref="B199" r:id="rId388"/>
    <hyperlink display="https://my.zakupki.prom.ua/remote/dispatcher/state_contracting_view/5025742" ref="D199" r:id="rId389"/>
    <hyperlink display="https://my.zakupki.prom.ua/remote/dispatcher/state_purchase_view/21397572" ref="B200" r:id="rId390"/>
    <hyperlink display="https://my.zakupki.prom.ua/remote/dispatcher/state_contracting_view/6493071" ref="D200" r:id="rId391"/>
    <hyperlink display="https://my.zakupki.prom.ua/remote/dispatcher/state_purchase_view/17542364" ref="B201" r:id="rId392"/>
    <hyperlink display="https://my.zakupki.prom.ua/remote/dispatcher/state_contracting_view/4675833" ref="D201" r:id="rId393"/>
    <hyperlink display="https://my.zakupki.prom.ua/remote/dispatcher/state_purchase_view/18060692" ref="B202" r:id="rId394"/>
    <hyperlink display="https://my.zakupki.prom.ua/remote/dispatcher/state_contracting_view/4914128" ref="D202" r:id="rId395"/>
    <hyperlink display="https://my.zakupki.prom.ua/remote/dispatcher/state_purchase_view/18049740" ref="B203" r:id="rId396"/>
    <hyperlink display="https://my.zakupki.prom.ua/remote/dispatcher/state_contracting_view/4908751" ref="D203" r:id="rId397"/>
    <hyperlink display="https://my.zakupki.prom.ua/remote/dispatcher/state_purchase_view/21285343" ref="B204" r:id="rId398"/>
    <hyperlink display="https://my.zakupki.prom.ua/remote/dispatcher/state_contracting_view/6440262" ref="D204" r:id="rId399"/>
    <hyperlink display="https://my.zakupki.prom.ua/remote/dispatcher/state_purchase_view/21360153" ref="B205" r:id="rId400"/>
    <hyperlink display="https://my.zakupki.prom.ua/remote/dispatcher/state_contracting_view/6563709" ref="D205" r:id="rId401"/>
    <hyperlink display="https://my.zakupki.prom.ua/remote/dispatcher/state_purchase_view/21596872" ref="B206" r:id="rId402"/>
    <hyperlink display="https://my.zakupki.prom.ua/remote/dispatcher/state_contracting_view/6586320" ref="D206" r:id="rId403"/>
    <hyperlink display="https://my.zakupki.prom.ua/remote/dispatcher/state_purchase_view/21587403" ref="B207" r:id="rId404"/>
    <hyperlink display="https://my.zakupki.prom.ua/remote/dispatcher/state_contracting_view/6581588" ref="D207" r:id="rId405"/>
    <hyperlink display="https://my.zakupki.prom.ua/remote/dispatcher/state_purchase_view/22110848" ref="B208" r:id="rId406"/>
    <hyperlink display="https://my.zakupki.prom.ua/remote/dispatcher/state_contracting_view/6828318" ref="D208" r:id="rId407"/>
    <hyperlink display="https://my.zakupki.prom.ua/remote/dispatcher/state_purchase_view/21518991" ref="B209" r:id="rId408"/>
    <hyperlink display="https://my.zakupki.prom.ua/remote/dispatcher/state_contracting_view/6549882" ref="D209" r:id="rId409"/>
    <hyperlink display="https://my.zakupki.prom.ua/remote/dispatcher/state_purchase_view/20897772" ref="B210" r:id="rId410"/>
    <hyperlink display="https://my.zakupki.prom.ua/remote/dispatcher/state_contracting_view/6261345" ref="D210" r:id="rId411"/>
    <hyperlink display="https://my.zakupki.prom.ua/remote/dispatcher/state_purchase_view/21121946" ref="B211" r:id="rId412"/>
    <hyperlink display="https://my.zakupki.prom.ua/remote/dispatcher/state_contracting_view/6364696" ref="D211" r:id="rId413"/>
    <hyperlink display="https://my.zakupki.prom.ua/remote/dispatcher/state_purchase_view/21110688" ref="B212" r:id="rId414"/>
    <hyperlink display="https://my.zakupki.prom.ua/remote/dispatcher/state_contracting_view/6359222" ref="D212" r:id="rId415"/>
    <hyperlink display="https://my.zakupki.prom.ua/remote/dispatcher/state_purchase_view/21108636" ref="B213" r:id="rId416"/>
    <hyperlink display="https://my.zakupki.prom.ua/remote/dispatcher/state_contracting_view/6358126" ref="D213" r:id="rId417"/>
    <hyperlink display="https://my.zakupki.prom.ua/remote/dispatcher/state_purchase_view/22774432" ref="B214" r:id="rId418"/>
    <hyperlink display="https://my.zakupki.prom.ua/remote/dispatcher/state_contracting_view/7150910" ref="D214" r:id="rId419"/>
    <hyperlink display="https://my.zakupki.prom.ua/remote/dispatcher/state_purchase_view/22755838" ref="B215" r:id="rId420"/>
    <hyperlink display="https://my.zakupki.prom.ua/remote/dispatcher/state_contracting_view/7146485" ref="D215" r:id="rId421"/>
    <hyperlink display="https://my.zakupki.prom.ua/remote/dispatcher/state_purchase_view/20986642" ref="B216" r:id="rId422"/>
    <hyperlink display="https://my.zakupki.prom.ua/remote/dispatcher/state_contracting_view/6301725" ref="D216" r:id="rId423"/>
    <hyperlink display="https://my.zakupki.prom.ua/remote/dispatcher/state_purchase_view/20985507" ref="B217" r:id="rId424"/>
    <hyperlink display="https://my.zakupki.prom.ua/remote/dispatcher/state_contracting_view/6301360" ref="D217" r:id="rId425"/>
    <hyperlink display="https://my.zakupki.prom.ua/remote/dispatcher/state_purchase_view/22748085" ref="B218" r:id="rId426"/>
    <hyperlink display="https://my.zakupki.prom.ua/remote/dispatcher/state_contracting_view/7138069" ref="D218" r:id="rId427"/>
    <hyperlink display="https://my.zakupki.prom.ua/remote/dispatcher/state_purchase_view/22748287" ref="B219" r:id="rId428"/>
    <hyperlink display="https://my.zakupki.prom.ua/remote/dispatcher/state_contracting_view/7138129" ref="D219" r:id="rId429"/>
    <hyperlink display="https://my.zakupki.prom.ua/remote/dispatcher/state_purchase_view/22726415" ref="B220" r:id="rId430"/>
    <hyperlink display="https://my.zakupki.prom.ua/remote/dispatcher/state_contracting_view/7127545" ref="D220" r:id="rId431"/>
    <hyperlink display="https://my.zakupki.prom.ua/remote/dispatcher/state_purchase_view/22734665" ref="B221" r:id="rId432"/>
    <hyperlink display="https://my.zakupki.prom.ua/remote/dispatcher/state_contracting_view/7131469" ref="D221" r:id="rId433"/>
    <hyperlink display="https://my.zakupki.prom.ua/remote/dispatcher/state_purchase_view/22700230" ref="B222" r:id="rId434"/>
    <hyperlink display="https://my.zakupki.prom.ua/remote/dispatcher/state_contracting_view/7114276" ref="D222" r:id="rId435"/>
    <hyperlink display="https://my.zakupki.prom.ua/remote/dispatcher/state_purchase_view/16542464" ref="B223" r:id="rId436"/>
    <hyperlink display="https://my.zakupki.prom.ua/remote/dispatcher/state_contracting_view/4220375" ref="D223" r:id="rId437"/>
    <hyperlink display="https://my.zakupki.prom.ua/remote/dispatcher/state_purchase_view/16002758" ref="B224" r:id="rId438"/>
    <hyperlink display="https://my.zakupki.prom.ua/remote/dispatcher/state_contracting_view/4016070" ref="D224" r:id="rId439"/>
    <hyperlink display="https://my.zakupki.prom.ua/remote/dispatcher/state_purchase_view/16130893" ref="B225" r:id="rId440"/>
    <hyperlink display="https://my.zakupki.prom.ua/remote/dispatcher/state_contracting_view/4060864" ref="D225" r:id="rId441"/>
    <hyperlink display="https://my.zakupki.prom.ua/remote/dispatcher/state_purchase_view/16322522" ref="B226" r:id="rId442"/>
    <hyperlink display="https://my.zakupki.prom.ua/remote/dispatcher/state_contracting_view/4127959" ref="D226" r:id="rId443"/>
    <hyperlink display="https://my.zakupki.prom.ua/remote/dispatcher/state_purchase_view/16491624" ref="B227" r:id="rId444"/>
    <hyperlink display="https://my.zakupki.prom.ua/remote/dispatcher/state_contracting_view/4197903" ref="D227" r:id="rId445"/>
    <hyperlink display="https://my.zakupki.prom.ua/remote/dispatcher/state_purchase_view/15675222" ref="B228" r:id="rId446"/>
    <hyperlink display="https://my.zakupki.prom.ua/remote/dispatcher/state_contracting_view/3911570" ref="D228" r:id="rId447"/>
    <hyperlink display="https://my.zakupki.prom.ua/remote/dispatcher/state_purchase_view/15396071" ref="B229" r:id="rId448"/>
    <hyperlink display="https://my.zakupki.prom.ua/remote/dispatcher/state_contracting_view/3829877" ref="D229" r:id="rId449"/>
    <hyperlink display="https://my.zakupki.prom.ua/remote/dispatcher/state_purchase_view/17033263" ref="B230" r:id="rId450"/>
    <hyperlink display="https://my.zakupki.prom.ua/remote/dispatcher/state_contracting_view/4437835" ref="D230" r:id="rId451"/>
    <hyperlink display="https://my.zakupki.prom.ua/remote/dispatcher/state_purchase_view/16906364" ref="B231" r:id="rId452"/>
    <hyperlink display="https://my.zakupki.prom.ua/remote/dispatcher/state_contracting_view/4382907" ref="D231" r:id="rId453"/>
    <hyperlink display="https://my.zakupki.prom.ua/remote/dispatcher/state_purchase_view/16933056" ref="B232" r:id="rId454"/>
    <hyperlink display="https://my.zakupki.prom.ua/remote/dispatcher/state_contracting_view/4392987" ref="D232" r:id="rId455"/>
    <hyperlink display="https://my.zakupki.prom.ua/remote/dispatcher/state_purchase_view/16752075" ref="B233" r:id="rId456"/>
    <hyperlink display="https://my.zakupki.prom.ua/remote/dispatcher/state_contracting_view/4310437" ref="D233" r:id="rId457"/>
    <hyperlink display="https://my.zakupki.prom.ua/remote/dispatcher/state_purchase_view/16751896" ref="B234" r:id="rId458"/>
    <hyperlink display="https://my.zakupki.prom.ua/remote/dispatcher/state_contracting_view/4310494" ref="D234" r:id="rId459"/>
    <hyperlink display="https://my.zakupki.prom.ua/remote/dispatcher/state_purchase_view/17035561" ref="B235" r:id="rId460"/>
    <hyperlink display="https://my.zakupki.prom.ua/remote/dispatcher/state_contracting_view/4439048" ref="D235" r:id="rId461"/>
    <hyperlink display="https://my.zakupki.prom.ua/remote/dispatcher/state_purchase_view/16170806" ref="B236" r:id="rId462"/>
    <hyperlink display="https://my.zakupki.prom.ua/remote/dispatcher/state_contracting_view/4075663" ref="D236" r:id="rId463"/>
    <hyperlink display="https://my.zakupki.prom.ua/remote/dispatcher/state_purchase_view/16726055" ref="B237" r:id="rId464"/>
    <hyperlink display="https://my.zakupki.prom.ua/remote/dispatcher/state_contracting_view/4298716" ref="D237" r:id="rId465"/>
    <hyperlink display="https://my.zakupki.prom.ua/remote/dispatcher/state_purchase_view/16726730" ref="B238" r:id="rId466"/>
    <hyperlink display="https://my.zakupki.prom.ua/remote/dispatcher/state_contracting_view/4298981" ref="D238" r:id="rId467"/>
    <hyperlink display="https://my.zakupki.prom.ua/remote/dispatcher/state_purchase_view/16827600" ref="B239" r:id="rId468"/>
    <hyperlink display="https://my.zakupki.prom.ua/remote/dispatcher/state_contracting_view/4725481" ref="D239" r:id="rId469"/>
    <hyperlink display="https://my.zakupki.prom.ua/remote/dispatcher/state_purchase_view/17564826" ref="B240" r:id="rId470"/>
    <hyperlink display="https://my.zakupki.prom.ua/remote/dispatcher/state_contracting_view/4685493" ref="D240" r:id="rId471"/>
    <hyperlink display="https://my.zakupki.prom.ua/remote/dispatcher/state_purchase_view/17887759" ref="B241" r:id="rId472"/>
    <hyperlink display="https://my.zakupki.prom.ua/remote/dispatcher/state_contracting_view/4833032" ref="D241" r:id="rId473"/>
    <hyperlink display="https://my.zakupki.prom.ua/remote/dispatcher/state_purchase_view/18098512" ref="B242" r:id="rId474"/>
    <hyperlink display="https://my.zakupki.prom.ua/remote/dispatcher/state_contracting_view/4933094" ref="D242" r:id="rId475"/>
    <hyperlink display="https://my.zakupki.prom.ua/remote/dispatcher/state_purchase_view/19231570" ref="B243" r:id="rId476"/>
    <hyperlink display="https://my.zakupki.prom.ua/remote/dispatcher/state_contracting_view/5466015" ref="D243" r:id="rId477"/>
    <hyperlink display="https://my.zakupki.prom.ua/remote/dispatcher/state_purchase_view/19347928" ref="B244" r:id="rId478"/>
    <hyperlink display="https://my.zakupki.prom.ua/remote/dispatcher/state_contracting_view/5520975" ref="D244" r:id="rId479"/>
    <hyperlink display="https://my.zakupki.prom.ua/remote/dispatcher/state_purchase_view/19113087" ref="B245" r:id="rId480"/>
    <hyperlink display="https://my.zakupki.prom.ua/remote/dispatcher/state_contracting_view/5409740" ref="D245" r:id="rId481"/>
    <hyperlink display="https://my.zakupki.prom.ua/remote/dispatcher/state_purchase_view/19373284" ref="B246" r:id="rId482"/>
    <hyperlink display="https://my.zakupki.prom.ua/remote/dispatcher/state_contracting_view/5534687" ref="D246" r:id="rId483"/>
    <hyperlink display="https://my.zakupki.prom.ua/remote/dispatcher/state_purchase_view/17354460" ref="B247" r:id="rId484"/>
    <hyperlink display="https://my.zakupki.prom.ua/remote/dispatcher/state_contracting_view/4585656" ref="D247" r:id="rId485"/>
    <hyperlink display="https://my.zakupki.prom.ua/remote/dispatcher/state_purchase_view/17391991" ref="B248" r:id="rId486"/>
    <hyperlink display="https://my.zakupki.prom.ua/remote/dispatcher/state_contracting_view/4603202" ref="D248" r:id="rId487"/>
    <hyperlink display="https://my.zakupki.prom.ua/remote/dispatcher/state_purchase_view/17443664" ref="B249" r:id="rId488"/>
    <hyperlink display="https://my.zakupki.prom.ua/remote/dispatcher/state_contracting_view/4630532" ref="D249" r:id="rId489"/>
    <hyperlink display="https://my.zakupki.prom.ua/remote/dispatcher/state_purchase_view/17771040" ref="B250" r:id="rId490"/>
    <hyperlink display="https://my.zakupki.prom.ua/remote/dispatcher/state_contracting_view/4779243" ref="D250" r:id="rId491"/>
    <hyperlink display="https://my.zakupki.prom.ua/remote/dispatcher/state_purchase_view/17610497" ref="B251" r:id="rId492"/>
    <hyperlink display="https://my.zakupki.prom.ua/remote/dispatcher/state_contracting_view/4704839" ref="D251" r:id="rId493"/>
    <hyperlink display="https://my.zakupki.prom.ua/remote/dispatcher/state_purchase_view/17420927" ref="B252" r:id="rId494"/>
    <hyperlink display="https://my.zakupki.prom.ua/remote/dispatcher/state_contracting_view/4615947" ref="D252" r:id="rId495"/>
    <hyperlink display="https://my.zakupki.prom.ua/remote/dispatcher/state_purchase_view/20276861" ref="B253" r:id="rId496"/>
    <hyperlink display="https://my.zakupki.prom.ua/remote/dispatcher/state_contracting_view/5959615" ref="D253" r:id="rId497"/>
    <hyperlink display="https://my.zakupki.prom.ua/remote/dispatcher/state_purchase_view/20108575" ref="B254" r:id="rId498"/>
    <hyperlink display="https://my.zakupki.prom.ua/remote/dispatcher/state_contracting_view/5879493" ref="D254" r:id="rId499"/>
    <hyperlink display="https://my.zakupki.prom.ua/remote/dispatcher/state_purchase_view/19030975" ref="B255" r:id="rId500"/>
    <hyperlink display="https://my.zakupki.prom.ua/remote/dispatcher/state_contracting_view/5750727" ref="D255" r:id="rId501"/>
    <hyperlink display="https://my.zakupki.prom.ua/remote/dispatcher/state_purchase_view/19692629" ref="B256" r:id="rId502"/>
    <hyperlink display="https://my.zakupki.prom.ua/remote/dispatcher/state_contracting_view/5684598" ref="D256" r:id="rId503"/>
    <hyperlink display="https://my.zakupki.prom.ua/remote/dispatcher/state_purchase_view/19866506" ref="B257" r:id="rId504"/>
    <hyperlink display="https://my.zakupki.prom.ua/remote/dispatcher/state_contracting_view/5765079" ref="D257" r:id="rId505"/>
    <hyperlink display="https://my.zakupki.prom.ua/remote/dispatcher/state_purchase_view/20578529" ref="B258" r:id="rId506"/>
    <hyperlink display="https://my.zakupki.prom.ua/remote/dispatcher/state_contracting_view/6109034" ref="D258" r:id="rId507"/>
    <hyperlink display="https://my.zakupki.prom.ua/remote/dispatcher/state_purchase_view/20584537" ref="B259" r:id="rId508"/>
    <hyperlink display="https://my.zakupki.prom.ua/remote/dispatcher/state_contracting_view/6111477" ref="D259" r:id="rId509"/>
    <hyperlink display="https://my.zakupki.prom.ua/remote/dispatcher/state_purchase_view/20685384" ref="B260" r:id="rId510"/>
    <hyperlink display="https://my.zakupki.prom.ua/remote/dispatcher/state_contracting_view/6157834" ref="D260" r:id="rId511"/>
    <hyperlink display="https://my.zakupki.prom.ua/remote/dispatcher/state_purchase_view/20733256" ref="B261" r:id="rId512"/>
    <hyperlink display="https://my.zakupki.prom.ua/remote/dispatcher/state_contracting_view/6180666" ref="D261" r:id="rId513"/>
    <hyperlink display="https://my.zakupki.prom.ua/remote/dispatcher/state_purchase_view/20489800" ref="B262" r:id="rId514"/>
    <hyperlink display="https://my.zakupki.prom.ua/remote/dispatcher/state_contracting_view/6064662" ref="D262" r:id="rId515"/>
    <hyperlink display="https://my.zakupki.prom.ua/remote/dispatcher/state_purchase_view/20886129" ref="B263" r:id="rId516"/>
    <hyperlink display="https://my.zakupki.prom.ua/remote/dispatcher/state_contracting_view/6254034" ref="D263" r:id="rId517"/>
    <hyperlink display="https://my.zakupki.prom.ua/remote/dispatcher/state_purchase_view/20229127" ref="B264" r:id="rId518"/>
    <hyperlink display="https://my.zakupki.prom.ua/remote/dispatcher/state_contracting_view/6452971" ref="D264" r:id="rId519"/>
    <hyperlink display="https://my.zakupki.prom.ua/remote/dispatcher/state_purchase_view/21149185" ref="B265" r:id="rId520"/>
    <hyperlink display="https://my.zakupki.prom.ua/remote/dispatcher/state_contracting_view/6377137" ref="D265" r:id="rId521"/>
    <hyperlink display="https://my.zakupki.prom.ua/remote/dispatcher/state_purchase_view/21176566" ref="B266" r:id="rId522"/>
    <hyperlink display="https://my.zakupki.prom.ua/remote/dispatcher/state_contracting_view/6390011" ref="D266" r:id="rId523"/>
    <hyperlink display="https://my.zakupki.prom.ua/remote/dispatcher/state_purchase_view/21192411" ref="B267" r:id="rId524"/>
    <hyperlink display="https://my.zakupki.prom.ua/remote/dispatcher/state_contracting_view/6397253" ref="D267" r:id="rId525"/>
    <hyperlink display="https://my.zakupki.prom.ua/remote/dispatcher/state_purchase_view/22748543" ref="B268" r:id="rId526"/>
    <hyperlink display="https://my.zakupki.prom.ua/remote/dispatcher/state_contracting_view/7138237" ref="D268" r:id="rId527"/>
    <hyperlink display="https://my.zakupki.prom.ua/remote/dispatcher/state_purchase_view/22713548" ref="B269" r:id="rId528"/>
    <hyperlink display="https://my.zakupki.prom.ua/remote/dispatcher/state_contracting_view/7121008" ref="D269" r:id="rId529"/>
    <hyperlink display="https://my.zakupki.prom.ua/remote/dispatcher/state_purchase_view/22733653" ref="B270" r:id="rId530"/>
    <hyperlink display="https://my.zakupki.prom.ua/remote/dispatcher/state_contracting_view/7131400" ref="D270" r:id="rId531"/>
    <hyperlink display="https://my.zakupki.prom.ua/remote/dispatcher/state_purchase_view/22425746" ref="B271" r:id="rId532"/>
    <hyperlink display="https://my.zakupki.prom.ua/remote/dispatcher/state_contracting_view/6980337" ref="D271" r:id="rId533"/>
    <hyperlink display="https://my.zakupki.prom.ua/remote/dispatcher/state_purchase_view/22421185" ref="B272" r:id="rId534"/>
    <hyperlink display="https://my.zakupki.prom.ua/remote/dispatcher/state_contracting_view/6978146" ref="D272" r:id="rId535"/>
    <hyperlink display="https://my.zakupki.prom.ua/remote/dispatcher/state_purchase_view/22618907" ref="B273" r:id="rId536"/>
    <hyperlink display="https://my.zakupki.prom.ua/remote/dispatcher/state_contracting_view/7076603" ref="D273" r:id="rId537"/>
    <hyperlink display="https://my.zakupki.prom.ua/remote/dispatcher/state_purchase_view/21514697" ref="B274" r:id="rId538"/>
    <hyperlink display="https://my.zakupki.prom.ua/remote/dispatcher/state_contracting_view/6548363" ref="D274" r:id="rId539"/>
    <hyperlink display="https://my.zakupki.prom.ua/remote/dispatcher/state_purchase_view/21487630" ref="B275" r:id="rId540"/>
    <hyperlink display="https://my.zakupki.prom.ua/remote/dispatcher/state_contracting_view/6534757" ref="D275" r:id="rId541"/>
    <hyperlink display="https://my.zakupki.prom.ua/remote/dispatcher/state_purchase_view/22761578" ref="B276" r:id="rId542"/>
    <hyperlink display="https://my.zakupki.prom.ua/remote/dispatcher/state_contracting_view/7146546" ref="D276" r:id="rId543"/>
    <hyperlink display="https://my.zakupki.prom.ua/remote/dispatcher/state_purchase_view/22771701" ref="B277" r:id="rId544"/>
    <hyperlink display="https://my.zakupki.prom.ua/remote/dispatcher/state_contracting_view/7149583" ref="D277" r:id="rId545"/>
    <hyperlink display="https://my.zakupki.prom.ua/remote/dispatcher/state_purchase_view/18199976" ref="B278" r:id="rId546"/>
    <hyperlink display="https://my.zakupki.prom.ua/remote/dispatcher/state_contracting_view/4979893" ref="D278" r:id="rId547"/>
    <hyperlink display="https://my.zakupki.prom.ua/remote/dispatcher/state_purchase_view/18982732" ref="B279" r:id="rId548"/>
    <hyperlink display="https://my.zakupki.prom.ua/remote/dispatcher/state_contracting_view/5347722" ref="D279" r:id="rId549"/>
    <hyperlink display="https://my.zakupki.prom.ua/remote/dispatcher/state_purchase_view/19424708" ref="B280" r:id="rId550"/>
    <hyperlink display="https://my.zakupki.prom.ua/remote/dispatcher/state_contracting_view/5557262" ref="D280" r:id="rId551"/>
    <hyperlink display="https://my.zakupki.prom.ua/remote/dispatcher/state_purchase_view/20986903" ref="B281" r:id="rId552"/>
    <hyperlink display="https://my.zakupki.prom.ua/remote/dispatcher/state_contracting_view/6301900" ref="D281" r:id="rId553"/>
    <hyperlink display="https://my.zakupki.prom.ua/remote/dispatcher/state_purchase_view/20981342" ref="B282" r:id="rId554"/>
    <hyperlink display="https://my.zakupki.prom.ua/remote/dispatcher/state_contracting_view/6299357" ref="D282" r:id="rId555"/>
    <hyperlink display="https://my.zakupki.prom.ua/remote/dispatcher/state_purchase_view/20594724" ref="B283" r:id="rId556"/>
    <hyperlink display="https://my.zakupki.prom.ua/remote/dispatcher/state_contracting_view/6115688" ref="D283" r:id="rId557"/>
    <hyperlink display="https://my.zakupki.prom.ua/remote/dispatcher/state_purchase_view/21598044" ref="B284" r:id="rId558"/>
    <hyperlink display="https://my.zakupki.prom.ua/remote/dispatcher/state_contracting_view/6586723" ref="D284" r:id="rId559"/>
    <hyperlink display="https://my.zakupki.prom.ua/remote/dispatcher/state_purchase_view/21618594" ref="B285" r:id="rId560"/>
    <hyperlink display="https://my.zakupki.prom.ua/remote/dispatcher/state_contracting_view/6721658" ref="D285" r:id="rId561"/>
    <hyperlink display="https://my.zakupki.prom.ua/remote/dispatcher/state_purchase_view/22189956" ref="B286" r:id="rId562"/>
    <hyperlink display="https://my.zakupki.prom.ua/remote/dispatcher/state_contracting_view/6866602" ref="D286" r:id="rId563"/>
    <hyperlink display="https://my.zakupki.prom.ua/remote/dispatcher/state_purchase_view/18058221" ref="B287" r:id="rId564"/>
    <hyperlink display="https://my.zakupki.prom.ua/remote/dispatcher/state_contracting_view/4912806" ref="D287" r:id="rId565"/>
    <hyperlink display="https://my.zakupki.prom.ua/remote/dispatcher/state_purchase_view/18048898" ref="B288" r:id="rId566"/>
    <hyperlink display="https://my.zakupki.prom.ua/remote/dispatcher/state_contracting_view/4908357" ref="D288" r:id="rId567"/>
    <hyperlink display="https://my.zakupki.prom.ua/remote/dispatcher/state_purchase_view/18336382" ref="B289" r:id="rId568"/>
    <hyperlink display="https://my.zakupki.prom.ua/remote/dispatcher/state_contracting_view/5041679" ref="D289" r:id="rId569"/>
    <hyperlink display="https://my.zakupki.prom.ua/remote/dispatcher/state_purchase_view/18445038" ref="B290" r:id="rId570"/>
    <hyperlink display="https://my.zakupki.prom.ua/remote/dispatcher/state_contracting_view/5092927" ref="D290" r:id="rId571"/>
    <hyperlink display="https://my.zakupki.prom.ua/remote/dispatcher/state_purchase_view/18419747" ref="B291" r:id="rId572"/>
    <hyperlink display="https://my.zakupki.prom.ua/remote/dispatcher/state_contracting_view/5080931" ref="D291" r:id="rId573"/>
    <hyperlink display="https://my.zakupki.prom.ua/remote/dispatcher/state_purchase_view/17980789" ref="B292" r:id="rId574"/>
    <hyperlink display="https://my.zakupki.prom.ua/remote/dispatcher/state_contracting_view/4876709" ref="D292" r:id="rId575"/>
    <hyperlink display="https://my.zakupki.prom.ua/remote/dispatcher/state_purchase_view/17985398" ref="B293" r:id="rId576"/>
    <hyperlink display="https://my.zakupki.prom.ua/remote/dispatcher/state_contracting_view/4878791" ref="D293" r:id="rId577"/>
    <hyperlink display="https://my.zakupki.prom.ua/remote/dispatcher/state_purchase_view/18653435" ref="B294" r:id="rId578"/>
    <hyperlink display="https://my.zakupki.prom.ua/remote/dispatcher/state_contracting_view/5190887" ref="D294" r:id="rId579"/>
    <hyperlink display="https://my.zakupki.prom.ua/remote/dispatcher/state_purchase_view/18364529" ref="B295" r:id="rId580"/>
    <hyperlink display="https://my.zakupki.prom.ua/remote/dispatcher/state_contracting_view/5055364" ref="D295" r:id="rId581"/>
    <hyperlink display="https://my.zakupki.prom.ua/remote/dispatcher/state_purchase_view/18272409" ref="B296" r:id="rId582"/>
    <hyperlink display="https://my.zakupki.prom.ua/remote/dispatcher/state_contracting_view/5012411" ref="D296" r:id="rId583"/>
    <hyperlink display="https://my.zakupki.prom.ua/remote/dispatcher/state_purchase_view/17989891" ref="B297" r:id="rId584"/>
    <hyperlink display="https://my.zakupki.prom.ua/remote/dispatcher/state_contracting_view/4944755" ref="D297" r:id="rId585"/>
    <hyperlink display="https://my.zakupki.prom.ua/remote/dispatcher/state_purchase_view/18647684" ref="B298" r:id="rId586"/>
    <hyperlink display="https://my.zakupki.prom.ua/remote/dispatcher/state_contracting_view/5188294" ref="D298" r:id="rId587"/>
    <hyperlink display="https://my.zakupki.prom.ua/remote/dispatcher/state_purchase_view/18517734" ref="B299" r:id="rId588"/>
    <hyperlink display="https://my.zakupki.prom.ua/remote/dispatcher/state_contracting_view/5127222" ref="D299" r:id="rId589"/>
    <hyperlink display="https://my.zakupki.prom.ua/remote/dispatcher/state_purchase_view/18479390" ref="B300" r:id="rId590"/>
    <hyperlink display="https://my.zakupki.prom.ua/remote/dispatcher/state_contracting_view/5109216" ref="D300" r:id="rId591"/>
    <hyperlink display="https://my.zakupki.prom.ua/remote/dispatcher/state_purchase_view/20732363" ref="B301" r:id="rId592"/>
    <hyperlink display="https://my.zakupki.prom.ua/remote/dispatcher/state_contracting_view/6180553" ref="D301" r:id="rId593"/>
    <hyperlink display="https://my.zakupki.prom.ua/remote/dispatcher/state_purchase_view/14656745" ref="B302" r:id="rId594"/>
    <hyperlink display="https://my.zakupki.prom.ua/remote/dispatcher/state_contracting_view/3655107" ref="D302" r:id="rId595"/>
    <hyperlink display="https://my.zakupki.prom.ua/remote/dispatcher/state_purchase_view/16574235" ref="B303" r:id="rId596"/>
    <hyperlink display="https://my.zakupki.prom.ua/remote/dispatcher/state_contracting_view/4242262" ref="D303" r:id="rId597"/>
    <hyperlink display="https://my.zakupki.prom.ua/remote/dispatcher/state_purchase_view/16545857" ref="B304" r:id="rId598"/>
    <hyperlink display="https://my.zakupki.prom.ua/remote/dispatcher/state_contracting_view/4221461" ref="D304" r:id="rId599"/>
    <hyperlink display="https://my.zakupki.prom.ua/remote/dispatcher/state_purchase_view/15955151" ref="B305" r:id="rId600"/>
    <hyperlink display="https://my.zakupki.prom.ua/remote/dispatcher/state_contracting_view/3999770" ref="D305" r:id="rId601"/>
    <hyperlink display="https://my.zakupki.prom.ua/remote/dispatcher/state_purchase_view/15674869" ref="B306" r:id="rId602"/>
    <hyperlink display="https://my.zakupki.prom.ua/remote/dispatcher/state_contracting_view/3911214" ref="D306" r:id="rId603"/>
    <hyperlink display="https://my.zakupki.prom.ua/remote/dispatcher/state_purchase_view/15880189" ref="B307" r:id="rId604"/>
    <hyperlink display="https://my.zakupki.prom.ua/remote/dispatcher/state_contracting_view/3974871" ref="D307" r:id="rId605"/>
    <hyperlink display="https://my.zakupki.prom.ua/remote/dispatcher/state_purchase_view/15299882" ref="B308" r:id="rId606"/>
    <hyperlink display="https://my.zakupki.prom.ua/remote/dispatcher/state_contracting_view/3804110" ref="D308" r:id="rId607"/>
    <hyperlink display="https://my.zakupki.prom.ua/remote/dispatcher/state_purchase_view/16917944" ref="B309" r:id="rId608"/>
    <hyperlink display="https://my.zakupki.prom.ua/remote/dispatcher/state_contracting_view/4386509" ref="D309" r:id="rId609"/>
    <hyperlink display="https://my.zakupki.prom.ua/remote/dispatcher/state_purchase_view/17664772" ref="B310" r:id="rId610"/>
    <hyperlink display="https://my.zakupki.prom.ua/remote/dispatcher/state_contracting_view/4729693" ref="D310" r:id="rId611"/>
    <hyperlink display="https://my.zakupki.prom.ua/remote/dispatcher/state_purchase_view/17663028" ref="B311" r:id="rId612"/>
    <hyperlink display="https://my.zakupki.prom.ua/remote/dispatcher/state_contracting_view/4729163" ref="D311" r:id="rId613"/>
    <hyperlink display="https://my.zakupki.prom.ua/remote/dispatcher/state_purchase_view/17636444" ref="B312" r:id="rId614"/>
    <hyperlink display="https://my.zakupki.prom.ua/remote/dispatcher/state_contracting_view/4716473" ref="D312" r:id="rId615"/>
    <hyperlink display="https://my.zakupki.prom.ua/remote/dispatcher/state_purchase_view/17764732" ref="B313" r:id="rId616"/>
    <hyperlink display="https://my.zakupki.prom.ua/remote/dispatcher/state_contracting_view/4776754" ref="D313" r:id="rId617"/>
    <hyperlink display="https://my.zakupki.prom.ua/remote/dispatcher/state_purchase_view/17682082" ref="B314" r:id="rId618"/>
    <hyperlink display="https://my.zakupki.prom.ua/remote/dispatcher/state_contracting_view/4738073" ref="D314" r:id="rId619"/>
    <hyperlink display="https://my.zakupki.prom.ua/remote/dispatcher/state_purchase_view/17692118" ref="B315" r:id="rId620"/>
    <hyperlink display="https://my.zakupki.prom.ua/remote/dispatcher/state_contracting_view/4742366" ref="D315" r:id="rId621"/>
    <hyperlink display="https://my.zakupki.prom.ua/remote/dispatcher/state_purchase_view/17697932" ref="B316" r:id="rId622"/>
    <hyperlink display="https://my.zakupki.prom.ua/remote/dispatcher/state_contracting_view/4745038" ref="D316" r:id="rId623"/>
    <hyperlink display="https://my.zakupki.prom.ua/remote/dispatcher/state_purchase_view/17865449" ref="B317" r:id="rId624"/>
    <hyperlink display="https://my.zakupki.prom.ua/remote/dispatcher/state_contracting_view/4873321" ref="D317" r:id="rId625"/>
    <hyperlink display="https://my.zakupki.prom.ua/remote/dispatcher/state_purchase_view/17667954" ref="B318" r:id="rId626"/>
    <hyperlink display="https://my.zakupki.prom.ua/remote/dispatcher/state_contracting_view/4732170" ref="D318" r:id="rId627"/>
    <hyperlink display="https://my.zakupki.prom.ua/remote/dispatcher/state_purchase_view/18338808" ref="B319" r:id="rId628"/>
    <hyperlink display="https://my.zakupki.prom.ua/remote/dispatcher/state_contracting_view/5043121" ref="D319" r:id="rId629"/>
    <hyperlink display="https://my.zakupki.prom.ua/remote/dispatcher/state_purchase_view/19792710" ref="B320" r:id="rId630"/>
    <hyperlink display="https://my.zakupki.prom.ua/remote/dispatcher/state_contracting_view/5730803" ref="D320" r:id="rId631"/>
    <hyperlink display="https://my.zakupki.prom.ua/remote/dispatcher/state_purchase_view/20025019" ref="B321" r:id="rId632"/>
    <hyperlink display="https://my.zakupki.prom.ua/remote/dispatcher/state_contracting_view/5838930" ref="D321" r:id="rId633"/>
    <hyperlink display="https://my.zakupki.prom.ua/remote/dispatcher/state_purchase_view/19865754" ref="B322" r:id="rId634"/>
    <hyperlink display="https://my.zakupki.prom.ua/remote/dispatcher/state_contracting_view/5765175" ref="D322" r:id="rId635"/>
    <hyperlink display="https://my.zakupki.prom.ua/remote/dispatcher/state_purchase_view/19692908" ref="B323" r:id="rId636"/>
    <hyperlink display="https://my.zakupki.prom.ua/remote/dispatcher/state_contracting_view/5684909" ref="D323" r:id="rId637"/>
    <hyperlink display="https://my.zakupki.prom.ua/remote/dispatcher/state_purchase_view/20117207" ref="B324" r:id="rId638"/>
    <hyperlink display="https://my.zakupki.prom.ua/remote/dispatcher/state_contracting_view/5883802" ref="D324" r:id="rId639"/>
    <hyperlink display="https://my.zakupki.prom.ua/remote/dispatcher/state_purchase_view/20017732" ref="B325" r:id="rId640"/>
    <hyperlink display="https://my.zakupki.prom.ua/remote/dispatcher/state_contracting_view/5835691" ref="D325" r:id="rId641"/>
    <hyperlink display="https://my.zakupki.prom.ua/remote/dispatcher/state_purchase_view/20110589" ref="B326" r:id="rId642"/>
    <hyperlink display="https://my.zakupki.prom.ua/remote/dispatcher/state_contracting_view/5880180" ref="D326" r:id="rId643"/>
    <hyperlink display="https://my.zakupki.prom.ua/remote/dispatcher/state_purchase_view/20590779" ref="B327" r:id="rId644"/>
    <hyperlink display="https://my.zakupki.prom.ua/remote/dispatcher/state_contracting_view/6114420" ref="D327" r:id="rId645"/>
    <hyperlink display="https://my.zakupki.prom.ua/remote/dispatcher/state_purchase_view/20598736" ref="B328" r:id="rId646"/>
    <hyperlink display="https://my.zakupki.prom.ua/remote/dispatcher/state_contracting_view/6117840" ref="D328" r:id="rId647"/>
    <hyperlink display="https://my.zakupki.prom.ua/remote/dispatcher/state_purchase_view/20600134" ref="B329" r:id="rId648"/>
    <hyperlink display="https://my.zakupki.prom.ua/remote/dispatcher/state_contracting_view/6119168" ref="D329" r:id="rId649"/>
    <hyperlink display="https://my.zakupki.prom.ua/remote/dispatcher/state_purchase_view/21150829" ref="B330" r:id="rId650"/>
    <hyperlink display="https://my.zakupki.prom.ua/remote/dispatcher/state_contracting_view/6378597" ref="D330" r:id="rId651"/>
    <hyperlink display="https://my.zakupki.prom.ua/remote/dispatcher/state_purchase_view/21172891" ref="B331" r:id="rId652"/>
    <hyperlink display="https://my.zakupki.prom.ua/remote/dispatcher/state_contracting_view/6388077" ref="D331" r:id="rId653"/>
    <hyperlink display="https://my.zakupki.prom.ua/remote/dispatcher/state_purchase_view/18412543" ref="B332" r:id="rId654"/>
    <hyperlink display="https://my.zakupki.prom.ua/remote/dispatcher/state_contracting_view/5077449" ref="D332" r:id="rId655"/>
    <hyperlink display="https://my.zakupki.prom.ua/remote/dispatcher/state_purchase_view/18645754" ref="B333" r:id="rId656"/>
    <hyperlink display="https://my.zakupki.prom.ua/remote/dispatcher/state_contracting_view/5187248" ref="D333" r:id="rId657"/>
    <hyperlink display="https://my.zakupki.prom.ua/remote/dispatcher/state_purchase_view/18758200" ref="B334" r:id="rId658"/>
    <hyperlink display="https://my.zakupki.prom.ua/remote/dispatcher/state_contracting_view/5298421" ref="D334" r:id="rId659"/>
    <hyperlink display="https://my.zakupki.prom.ua/remote/dispatcher/state_purchase_view/18473873" ref="B335" r:id="rId660"/>
    <hyperlink display="https://my.zakupki.prom.ua/remote/dispatcher/state_contracting_view/5106435" ref="D335" r:id="rId661"/>
    <hyperlink display="https://my.zakupki.prom.ua/remote/dispatcher/state_purchase_view/18483469" ref="B336" r:id="rId662"/>
    <hyperlink display="https://my.zakupki.prom.ua/remote/dispatcher/state_contracting_view/5169261" ref="D336" r:id="rId663"/>
    <hyperlink display="https://my.zakupki.prom.ua/remote/dispatcher/state_purchase_view/18990815" ref="B337" r:id="rId664"/>
    <hyperlink display="https://my.zakupki.prom.ua/remote/dispatcher/state_contracting_view/5351919" ref="D337" r:id="rId665"/>
    <hyperlink display="https://my.zakupki.prom.ua/remote/dispatcher/state_purchase_view/18984133" ref="B338" r:id="rId666"/>
    <hyperlink display="https://my.zakupki.prom.ua/remote/dispatcher/state_contracting_view/5348387" ref="D338" r:id="rId667"/>
    <hyperlink display="https://my.zakupki.prom.ua/remote/dispatcher/state_purchase_view/17537436" ref="B339" r:id="rId668"/>
    <hyperlink display="https://my.zakupki.prom.ua/remote/dispatcher/state_contracting_view/4671124" ref="D339" r:id="rId669"/>
    <hyperlink display="https://my.zakupki.prom.ua/remote/dispatcher/state_purchase_view/17564838" ref="B340" r:id="rId670"/>
    <hyperlink display="https://my.zakupki.prom.ua/remote/dispatcher/state_contracting_view/4685617" ref="D340" r:id="rId671"/>
    <hyperlink display="https://my.zakupki.prom.ua/remote/dispatcher/state_purchase_view/17563682" ref="B341" r:id="rId672"/>
    <hyperlink display="https://my.zakupki.prom.ua/remote/dispatcher/state_contracting_view/4683178" ref="D341" r:id="rId673"/>
    <hyperlink display="https://my.zakupki.prom.ua/remote/dispatcher/state_purchase_view/17593908" ref="B342" r:id="rId674"/>
    <hyperlink display="https://my.zakupki.prom.ua/remote/dispatcher/state_contracting_view/4697034" ref="D342" r:id="rId675"/>
    <hyperlink display="https://my.zakupki.prom.ua/remote/dispatcher/state_purchase_view/19090293" ref="B343" r:id="rId676"/>
    <hyperlink display="https://my.zakupki.prom.ua/remote/dispatcher/state_contracting_view/5398956" ref="D343" r:id="rId677"/>
    <hyperlink display="https://my.zakupki.prom.ua/remote/dispatcher/state_purchase_view/19142921" ref="B344" r:id="rId678"/>
    <hyperlink display="https://my.zakupki.prom.ua/remote/dispatcher/state_contracting_view/5423424" ref="D344" r:id="rId679"/>
    <hyperlink display="https://my.zakupki.prom.ua/remote/dispatcher/state_purchase_view/19379026" ref="B345" r:id="rId680"/>
    <hyperlink display="https://my.zakupki.prom.ua/remote/dispatcher/state_contracting_view/5536179" ref="D345" r:id="rId681"/>
    <hyperlink display="https://my.zakupki.prom.ua/remote/dispatcher/state_purchase_view/19056561" ref="B346" r:id="rId682"/>
    <hyperlink display="https://my.zakupki.prom.ua/remote/dispatcher/state_contracting_view/5384498" ref="D346" r:id="rId683"/>
    <hyperlink display="https://my.zakupki.prom.ua/remote/dispatcher/state_purchase_view/20466311" ref="B347" r:id="rId684"/>
    <hyperlink display="https://my.zakupki.prom.ua/remote/dispatcher/state_contracting_view/6052684" ref="D347" r:id="rId685"/>
    <hyperlink display="https://my.zakupki.prom.ua/remote/dispatcher/state_purchase_view/20881040" ref="B348" r:id="rId686"/>
    <hyperlink display="https://my.zakupki.prom.ua/remote/dispatcher/state_contracting_view/6251253" ref="D348" r:id="rId687"/>
    <hyperlink display="https://my.zakupki.prom.ua/remote/dispatcher/state_purchase_view/20880209" ref="B349" r:id="rId688"/>
    <hyperlink display="https://my.zakupki.prom.ua/remote/dispatcher/state_contracting_view/6251145" ref="D349" r:id="rId689"/>
    <hyperlink display="https://my.zakupki.prom.ua/remote/dispatcher/state_purchase_view/20934002" ref="B350" r:id="rId690"/>
    <hyperlink display="https://my.zakupki.prom.ua/remote/dispatcher/state_contracting_view/6277008" ref="D350" r:id="rId691"/>
    <hyperlink display="https://my.zakupki.prom.ua/remote/dispatcher/state_purchase_view/21834218" ref="B351" r:id="rId692"/>
    <hyperlink display="https://my.zakupki.prom.ua/remote/dispatcher/state_contracting_view/6695775" ref="D351" r:id="rId693"/>
    <hyperlink display="https://my.zakupki.prom.ua/remote/dispatcher/state_purchase_view/21586146" ref="B352" r:id="rId694"/>
    <hyperlink display="https://my.zakupki.prom.ua/remote/dispatcher/state_contracting_view/6581059" ref="D352" r:id="rId695"/>
    <hyperlink display="https://my.zakupki.prom.ua/remote/dispatcher/state_purchase_view/22652852" ref="B353" r:id="rId696"/>
    <hyperlink display="https://my.zakupki.prom.ua/remote/dispatcher/state_contracting_view/7092857" ref="D353" r:id="rId697"/>
    <hyperlink display="https://my.zakupki.prom.ua/remote/dispatcher/state_purchase_view/22714246" ref="B354" r:id="rId698"/>
    <hyperlink display="https://my.zakupki.prom.ua/remote/dispatcher/state_contracting_view/7121780" ref="D354" r:id="rId699"/>
    <hyperlink display="https://my.zakupki.prom.ua/remote/dispatcher/state_purchase_view/21859029" ref="B355" r:id="rId700"/>
    <hyperlink display="https://my.zakupki.prom.ua/remote/dispatcher/state_contracting_view/6707619" ref="D355" r:id="rId701"/>
    <hyperlink display="https://my.zakupki.prom.ua/remote/dispatcher/state_purchase_view/18271764" ref="B356" r:id="rId702"/>
    <hyperlink display="https://my.zakupki.prom.ua/remote/dispatcher/state_contracting_view/5012257" ref="D356" r:id="rId703"/>
    <hyperlink display="https://my.zakupki.prom.ua/remote/dispatcher/state_purchase_view/20712076" ref="B357" r:id="rId704"/>
    <hyperlink display="https://my.zakupki.prom.ua/remote/dispatcher/state_contracting_view/6260361" ref="D357" r:id="rId705"/>
    <hyperlink display="https://my.zakupki.prom.ua/remote/dispatcher/state_purchase_view/15469805" ref="B358" r:id="rId706"/>
    <hyperlink display="https://my.zakupki.prom.ua/remote/dispatcher/state_contracting_view/3851031" ref="D358" r:id="rId707"/>
    <hyperlink display="https://my.zakupki.prom.ua/remote/dispatcher/state_purchase_view/15007957" ref="B359" r:id="rId708"/>
    <hyperlink display="https://my.zakupki.prom.ua/remote/dispatcher/state_contracting_view/3730461" ref="D359" r:id="rId709"/>
    <hyperlink display="https://my.zakupki.prom.ua/remote/dispatcher/state_purchase_view/14757039" ref="B360" r:id="rId710"/>
    <hyperlink display="https://my.zakupki.prom.ua/remote/dispatcher/state_contracting_view/3673869" ref="D360" r:id="rId711"/>
    <hyperlink display="https://my.zakupki.prom.ua/remote/dispatcher/state_purchase_view/21741586" ref="B361" r:id="rId712"/>
    <hyperlink display="https://my.zakupki.prom.ua/remote/dispatcher/state_contracting_view/6653286" ref="D361" r:id="rId713"/>
    <hyperlink display="https://my.zakupki.prom.ua/remote/dispatcher/state_purchase_view/21852379" ref="B362" r:id="rId714"/>
    <hyperlink display="https://my.zakupki.prom.ua/remote/dispatcher/state_contracting_view/6704363" ref="D362" r:id="rId715"/>
    <hyperlink display="https://my.zakupki.prom.ua/remote/dispatcher/state_purchase_view/21109781" ref="B363" r:id="rId716"/>
    <hyperlink display="https://my.zakupki.prom.ua/remote/dispatcher/state_contracting_view/6358985" ref="D363" r:id="rId717"/>
    <hyperlink display="https://my.zakupki.prom.ua/remote/dispatcher/state_purchase_view/21112778" ref="B364" r:id="rId718"/>
    <hyperlink display="https://my.zakupki.prom.ua/remote/dispatcher/state_contracting_view/6359948" ref="D364" r:id="rId719"/>
    <hyperlink display="https://my.zakupki.prom.ua/remote/dispatcher/state_purchase_view/21182661" ref="B365" r:id="rId720"/>
    <hyperlink display="https://my.zakupki.prom.ua/remote/dispatcher/state_contracting_view/6393328" ref="D365" r:id="rId721"/>
    <hyperlink display="https://my.zakupki.prom.ua/remote/dispatcher/state_purchase_view/21106293" ref="B366" r:id="rId722"/>
    <hyperlink display="https://my.zakupki.prom.ua/remote/dispatcher/state_contracting_view/6357626" ref="D366" r:id="rId723"/>
    <hyperlink display="https://my.zakupki.prom.ua/remote/dispatcher/state_purchase_view/22430942" ref="B367" r:id="rId724"/>
    <hyperlink display="https://my.zakupki.prom.ua/remote/dispatcher/state_contracting_view/6983602" ref="D367" r:id="rId725"/>
    <hyperlink display="https://my.zakupki.prom.ua/remote/dispatcher/state_purchase_view/22637431" ref="B368" r:id="rId726"/>
    <hyperlink display="https://my.zakupki.prom.ua/remote/dispatcher/state_contracting_view/7087177" ref="D368" r:id="rId727"/>
    <hyperlink display="https://my.zakupki.prom.ua/remote/dispatcher/state_purchase_view/22461515" ref="B369" r:id="rId728"/>
    <hyperlink display="https://my.zakupki.prom.ua/remote/dispatcher/state_contracting_view/6997172" ref="D369" r:id="rId729"/>
    <hyperlink display="https://my.zakupki.prom.ua/remote/dispatcher/state_purchase_view/16903816" ref="B370" r:id="rId730"/>
    <hyperlink display="https://my.zakupki.prom.ua/remote/dispatcher/state_contracting_view/4380247" ref="D370" r:id="rId731"/>
    <hyperlink display="https://my.zakupki.prom.ua/remote/dispatcher/state_purchase_view/17035451" ref="B371" r:id="rId732"/>
    <hyperlink display="https://my.zakupki.prom.ua/remote/dispatcher/state_contracting_view/4439001" ref="D371" r:id="rId733"/>
    <hyperlink display="https://my.zakupki.prom.ua/remote/dispatcher/state_purchase_view/15699168" ref="B372" r:id="rId734"/>
    <hyperlink display="https://my.zakupki.prom.ua/remote/dispatcher/state_contracting_view/3918838" ref="D372" r:id="rId735"/>
    <hyperlink display="https://my.zakupki.prom.ua/remote/dispatcher/state_purchase_view/15722540" ref="B373" r:id="rId736"/>
    <hyperlink display="https://my.zakupki.prom.ua/remote/dispatcher/state_contracting_view/3930129" ref="D373" r:id="rId737"/>
    <hyperlink display="https://my.zakupki.prom.ua/remote/dispatcher/state_purchase_view/15708019" ref="B374" r:id="rId738"/>
    <hyperlink display="https://my.zakupki.prom.ua/remote/dispatcher/state_contracting_view/3921264" ref="D374" r:id="rId739"/>
    <hyperlink display="https://my.zakupki.prom.ua/remote/dispatcher/state_purchase_view/17662027" ref="B375" r:id="rId740"/>
    <hyperlink display="https://my.zakupki.prom.ua/remote/dispatcher/state_contracting_view/4728498" ref="D375" r:id="rId741"/>
    <hyperlink display="https://my.zakupki.prom.ua/remote/dispatcher/state_purchase_view/18033231" ref="B376" r:id="rId742"/>
    <hyperlink display="https://my.zakupki.prom.ua/remote/dispatcher/state_contracting_view/4901368" ref="D376" r:id="rId743"/>
    <hyperlink display="https://my.zakupki.prom.ua/remote/dispatcher/state_purchase_view/18337826" ref="B377" r:id="rId744"/>
    <hyperlink display="https://my.zakupki.prom.ua/remote/dispatcher/state_contracting_view/5042370" ref="D377" r:id="rId745"/>
    <hyperlink display="https://my.zakupki.prom.ua/remote/dispatcher/state_purchase_view/18511366" ref="B378" r:id="rId746"/>
    <hyperlink display="https://my.zakupki.prom.ua/remote/dispatcher/state_contracting_view/5124186" ref="D378" r:id="rId747"/>
    <hyperlink display="https://my.zakupki.prom.ua/remote/dispatcher/state_purchase_view/18559459" ref="B379" r:id="rId748"/>
    <hyperlink display="https://my.zakupki.prom.ua/remote/dispatcher/state_contracting_view/5147834" ref="D379" r:id="rId749"/>
    <hyperlink display="https://my.zakupki.prom.ua/remote/dispatcher/state_purchase_view/17332933" ref="B380" r:id="rId750"/>
    <hyperlink display="https://my.zakupki.prom.ua/remote/dispatcher/state_contracting_view/4575767" ref="D380" r:id="rId751"/>
    <hyperlink display="https://my.zakupki.prom.ua/remote/dispatcher/state_purchase_view/17067340" ref="B381" r:id="rId752"/>
    <hyperlink display="https://my.zakupki.prom.ua/remote/dispatcher/state_contracting_view/4453470" ref="D381" r:id="rId753"/>
    <hyperlink display="https://my.zakupki.prom.ua/remote/dispatcher/state_purchase_view/17241264" ref="B382" r:id="rId754"/>
    <hyperlink display="https://my.zakupki.prom.ua/remote/dispatcher/state_contracting_view/4533290" ref="D382" r:id="rId755"/>
    <hyperlink display="https://my.zakupki.prom.ua/remote/dispatcher/state_purchase_view/18800706" ref="B383" r:id="rId756"/>
    <hyperlink display="https://my.zakupki.prom.ua/remote/dispatcher/state_contracting_view/5262164" ref="D383" r:id="rId757"/>
    <hyperlink display="https://my.zakupki.prom.ua/remote/dispatcher/state_purchase_view/18796200" ref="B384" r:id="rId758"/>
    <hyperlink display="https://my.zakupki.prom.ua/remote/dispatcher/state_contracting_view/5260072" ref="D384" r:id="rId759"/>
    <hyperlink display="https://my.zakupki.prom.ua/remote/dispatcher/state_purchase_view/19323566" ref="B385" r:id="rId760"/>
    <hyperlink display="https://my.zakupki.prom.ua/remote/dispatcher/state_contracting_view/5509476" ref="D385" r:id="rId761"/>
    <hyperlink display="https://my.zakupki.prom.ua/remote/dispatcher/state_purchase_view/19451271" ref="B386" r:id="rId762"/>
    <hyperlink display="https://my.zakupki.prom.ua/remote/dispatcher/state_contracting_view/5569314" ref="D386" r:id="rId763"/>
    <hyperlink display="https://my.zakupki.prom.ua/remote/dispatcher/state_purchase_view/20015770" ref="B387" r:id="rId764"/>
    <hyperlink display="https://my.zakupki.prom.ua/remote/dispatcher/state_contracting_view/5834746" ref="D387" r:id="rId765"/>
    <hyperlink display="https://my.zakupki.prom.ua/remote/dispatcher/state_purchase_view/20036395" ref="B388" r:id="rId766"/>
    <hyperlink display="https://my.zakupki.prom.ua/remote/dispatcher/state_contracting_view/5844592" ref="D388" r:id="rId767"/>
    <hyperlink display="https://my.zakupki.prom.ua/remote/dispatcher/state_purchase_view/20210447" ref="B389" r:id="rId768"/>
    <hyperlink display="https://my.zakupki.prom.ua/remote/dispatcher/state_contracting_view/5927507" ref="D389" r:id="rId769"/>
    <hyperlink display="https://my.zakupki.prom.ua/remote/dispatcher/state_purchase_view/20203611" ref="B390" r:id="rId770"/>
    <hyperlink display="https://my.zakupki.prom.ua/remote/dispatcher/state_contracting_view/5924398" ref="D390" r:id="rId771"/>
    <hyperlink display="https://my.zakupki.prom.ua/remote/dispatcher/state_purchase_view/18983054" ref="B391" r:id="rId772"/>
    <hyperlink display="https://my.zakupki.prom.ua/remote/dispatcher/state_contracting_view/5348148" ref="D391" r:id="rId773"/>
    <hyperlink display="https://my.zakupki.prom.ua/remote/dispatcher/state_purchase_view/18898795" ref="B392" r:id="rId774"/>
    <hyperlink display="https://my.zakupki.prom.ua/remote/dispatcher/state_contracting_view/5308458" ref="D392" r:id="rId775"/>
    <hyperlink display="https://my.zakupki.prom.ua/remote/dispatcher/state_purchase_view/19233021" ref="B393" r:id="rId776"/>
    <hyperlink display="https://my.zakupki.prom.ua/remote/dispatcher/state_contracting_view/5466618" ref="D393" r:id="rId777"/>
    <hyperlink display="https://my.zakupki.prom.ua/remote/dispatcher/state_purchase_view/19122031" ref="B394" r:id="rId778"/>
    <hyperlink display="https://my.zakupki.prom.ua/remote/dispatcher/state_contracting_view/5413766" ref="D394" r:id="rId779"/>
    <hyperlink display="https://my.zakupki.prom.ua/remote/dispatcher/state_purchase_view/19113914" ref="B395" r:id="rId780"/>
    <hyperlink display="https://my.zakupki.prom.ua/remote/dispatcher/state_contracting_view/5410327" ref="D395" r:id="rId781"/>
    <hyperlink display="https://my.zakupki.prom.ua/remote/dispatcher/state_purchase_view/18646333" ref="B396" r:id="rId782"/>
    <hyperlink display="https://my.zakupki.prom.ua/remote/dispatcher/state_contracting_view/5187296" ref="D396" r:id="rId783"/>
    <hyperlink display="https://my.zakupki.prom.ua/remote/dispatcher/state_purchase_view/19350499" ref="B397" r:id="rId784"/>
    <hyperlink display="https://my.zakupki.prom.ua/remote/dispatcher/state_contracting_view/5522551" ref="D397" r:id="rId785"/>
    <hyperlink display="https://my.zakupki.prom.ua/remote/dispatcher/state_purchase_view/19214324" ref="B398" r:id="rId786"/>
    <hyperlink display="https://my.zakupki.prom.ua/remote/dispatcher/state_contracting_view/5457062" ref="D398" r:id="rId787"/>
    <hyperlink display="https://my.zakupki.prom.ua/remote/dispatcher/state_purchase_view/17885802" ref="B399" r:id="rId788"/>
    <hyperlink display="https://my.zakupki.prom.ua/remote/dispatcher/state_contracting_view/4832395" ref="D399" r:id="rId789"/>
    <hyperlink display="https://my.zakupki.prom.ua/remote/dispatcher/state_purchase_view/17691252" ref="B400" r:id="rId790"/>
    <hyperlink display="https://my.zakupki.prom.ua/remote/dispatcher/state_contracting_view/4741799" ref="D400" r:id="rId791"/>
    <hyperlink display="https://my.zakupki.prom.ua/remote/dispatcher/state_purchase_view/17762332" ref="B401" r:id="rId792"/>
    <hyperlink display="https://my.zakupki.prom.ua/remote/dispatcher/state_contracting_view/4775199" ref="D401" r:id="rId793"/>
    <hyperlink display="https://my.zakupki.prom.ua/remote/dispatcher/state_purchase_view/18131561" ref="B402" r:id="rId794"/>
    <hyperlink display="https://my.zakupki.prom.ua/remote/dispatcher/state_contracting_view/4947558" ref="D402" r:id="rId795"/>
    <hyperlink display="https://my.zakupki.prom.ua/remote/dispatcher/state_purchase_view/18200723" ref="B403" r:id="rId796"/>
    <hyperlink display="https://my.zakupki.prom.ua/remote/dispatcher/state_contracting_view/4980106" ref="D403" r:id="rId797"/>
    <hyperlink display="https://my.zakupki.prom.ua/remote/dispatcher/state_purchase_view/18203296" ref="B404" r:id="rId798"/>
    <hyperlink display="https://my.zakupki.prom.ua/remote/dispatcher/state_contracting_view/4981402" ref="D404" r:id="rId799"/>
    <hyperlink display="https://my.zakupki.prom.ua/remote/dispatcher/state_purchase_view/18183969" ref="B405" r:id="rId800"/>
    <hyperlink display="https://my.zakupki.prom.ua/remote/dispatcher/state_contracting_view/4972445" ref="D405" r:id="rId801"/>
    <hyperlink display="https://my.zakupki.prom.ua/remote/dispatcher/state_purchase_view/17095833" ref="B406" r:id="rId802"/>
    <hyperlink display="https://my.zakupki.prom.ua/remote/dispatcher/state_contracting_view/4466877" ref="D406" r:id="rId803"/>
    <hyperlink display="https://my.zakupki.prom.ua/remote/dispatcher/state_purchase_view/16303711" ref="B407" r:id="rId804"/>
    <hyperlink display="https://my.zakupki.prom.ua/remote/dispatcher/state_contracting_view/4124681" ref="D407" r:id="rId805"/>
    <hyperlink display="https://my.zakupki.prom.ua/remote/dispatcher/state_purchase_view/16057765" ref="B408" r:id="rId806"/>
    <hyperlink display="https://my.zakupki.prom.ua/remote/dispatcher/state_contracting_view/4034569" ref="D408" r:id="rId807"/>
    <hyperlink display="https://my.zakupki.prom.ua/remote/dispatcher/state_purchase_view/19793521" ref="B409" r:id="rId808"/>
    <hyperlink display="https://my.zakupki.prom.ua/remote/dispatcher/state_contracting_view/5731057" ref="D409" r:id="rId809"/>
    <hyperlink display="https://my.zakupki.prom.ua/remote/dispatcher/state_purchase_view/19754245" ref="B410" r:id="rId810"/>
    <hyperlink display="https://my.zakupki.prom.ua/remote/dispatcher/state_contracting_view/5714852" ref="D410" r:id="rId811"/>
    <hyperlink display="https://my.zakupki.prom.ua/remote/dispatcher/state_purchase_view/19753841" ref="B411" r:id="rId812"/>
    <hyperlink display="https://my.zakupki.prom.ua/remote/dispatcher/state_contracting_view/5715243" ref="D411" r:id="rId813"/>
    <hyperlink display="https://my.zakupki.prom.ua/remote/dispatcher/state_purchase_view/19663012" ref="B412" r:id="rId814"/>
    <hyperlink display="https://my.zakupki.prom.ua/remote/dispatcher/state_contracting_view/5670433" ref="D412" r:id="rId815"/>
    <hyperlink display="https://my.zakupki.prom.ua/remote/dispatcher/state_purchase_view/19636312" ref="B413" r:id="rId816"/>
    <hyperlink display="https://my.zakupki.prom.ua/remote/dispatcher/state_contracting_view/5657566" ref="D413" r:id="rId817"/>
    <hyperlink display="https://my.zakupki.prom.ua/remote/dispatcher/state_purchase_view/19835354" ref="B414" r:id="rId818"/>
    <hyperlink display="https://my.zakupki.prom.ua/remote/dispatcher/state_contracting_view/5750550" ref="D414" r:id="rId819"/>
    <hyperlink display="https://my.zakupki.prom.ua/remote/dispatcher/state_purchase_view/20583871" ref="B415" r:id="rId820"/>
    <hyperlink display="https://my.zakupki.prom.ua/remote/dispatcher/state_contracting_view/6110912" ref="D415" r:id="rId821"/>
    <hyperlink display="https://my.zakupki.prom.ua/remote/dispatcher/state_purchase_view/20582876" ref="B416" r:id="rId822"/>
    <hyperlink display="https://my.zakupki.prom.ua/remote/dispatcher/state_contracting_view/6110528" ref="D416" r:id="rId823"/>
    <hyperlink display="https://my.zakupki.prom.ua/remote/dispatcher/state_purchase_view/20582406" ref="B417" r:id="rId824"/>
    <hyperlink display="https://my.zakupki.prom.ua/remote/dispatcher/state_contracting_view/6119294" ref="D417" r:id="rId825"/>
    <hyperlink display="https://my.zakupki.prom.ua/remote/dispatcher/state_purchase_view/20888359" ref="B418" r:id="rId826"/>
    <hyperlink display="https://my.zakupki.prom.ua/remote/dispatcher/state_contracting_view/6254875" ref="D418" r:id="rId827"/>
    <hyperlink display="https://my.zakupki.prom.ua/remote/dispatcher/state_purchase_view/20882313" ref="B419" r:id="rId828"/>
    <hyperlink display="https://my.zakupki.prom.ua/remote/dispatcher/state_contracting_view/6252333" ref="D419" r:id="rId829"/>
    <hyperlink display="https://my.zakupki.prom.ua/remote/dispatcher/state_purchase_view/20979300" ref="B420" r:id="rId830"/>
    <hyperlink display="https://my.zakupki.prom.ua/remote/dispatcher/state_contracting_view/6298434" ref="D420" r:id="rId831"/>
    <hyperlink display="https://my.zakupki.prom.ua/remote/dispatcher/state_purchase_view/20982819" ref="B421" r:id="rId832"/>
    <hyperlink display="https://my.zakupki.prom.ua/remote/dispatcher/state_contracting_view/6299850" ref="D421" r:id="rId833"/>
    <hyperlink display="https://my.zakupki.prom.ua/remote/dispatcher/state_purchase_view/20726687" ref="B422" r:id="rId834"/>
    <hyperlink display="https://my.zakupki.prom.ua/remote/dispatcher/state_contracting_view/6177889" ref="D422" r:id="rId835"/>
    <hyperlink display="https://my.zakupki.prom.ua/remote/dispatcher/state_purchase_view/19508564" ref="B423" r:id="rId836"/>
    <hyperlink display="https://my.zakupki.prom.ua/remote/dispatcher/state_contracting_view/5596747" ref="D423" r:id="rId837"/>
    <hyperlink display="https://my.zakupki.prom.ua/remote/dispatcher/state_purchase_view/19695472" ref="B424" r:id="rId838"/>
    <hyperlink display="https://my.zakupki.prom.ua/remote/dispatcher/state_contracting_view/5686097" ref="D424" r:id="rId839"/>
    <hyperlink display="https://my.zakupki.prom.ua/remote/dispatcher/state_purchase_view/17562209" ref="B425" r:id="rId840"/>
    <hyperlink display="https://my.zakupki.prom.ua/remote/dispatcher/state_contracting_view/4682955" ref="D425" r:id="rId841"/>
    <hyperlink display="https://my.zakupki.prom.ua/remote/dispatcher/state_purchase_view/18337146" ref="B426" r:id="rId842"/>
    <hyperlink display="https://my.zakupki.prom.ua/remote/dispatcher/state_contracting_view/5042262" ref="D426" r:id="rId843"/>
    <hyperlink display="https://my.zakupki.prom.ua/remote/dispatcher/state_purchase_view/18318614" ref="B427" r:id="rId844"/>
    <hyperlink display="https://my.zakupki.prom.ua/remote/dispatcher/state_contracting_view/5033607" ref="D427" r:id="rId845"/>
    <hyperlink display="https://my.zakupki.prom.ua/remote/dispatcher/state_purchase_view/17654122" ref="B428" r:id="rId846"/>
    <hyperlink display="https://my.zakupki.prom.ua/remote/dispatcher/state_contracting_view/4724804" ref="D428" r:id="rId847"/>
    <hyperlink display="https://my.zakupki.prom.ua/remote/dispatcher/state_purchase_view/17886830" ref="B429" r:id="rId848"/>
    <hyperlink display="https://my.zakupki.prom.ua/remote/dispatcher/state_contracting_view/4832732" ref="D429" r:id="rId849"/>
    <hyperlink display="https://my.zakupki.prom.ua/remote/dispatcher/state_purchase_view/17532049" ref="B430" r:id="rId850"/>
    <hyperlink display="https://my.zakupki.prom.ua/remote/dispatcher/state_contracting_view/4668317" ref="D430" r:id="rId851"/>
    <hyperlink display="https://my.zakupki.prom.ua/remote/dispatcher/state_purchase_view/18209576" ref="B431" r:id="rId852"/>
    <hyperlink display="https://my.zakupki.prom.ua/remote/dispatcher/state_contracting_view/4984366" ref="D431" r:id="rId853"/>
    <hyperlink display="https://my.zakupki.prom.ua/remote/dispatcher/state_purchase_view/20013486" ref="B432" r:id="rId854"/>
    <hyperlink display="https://my.zakupki.prom.ua/remote/dispatcher/state_contracting_view/5833731" ref="D432" r:id="rId855"/>
    <hyperlink display="https://my.zakupki.prom.ua/remote/dispatcher/state_purchase_view/20113124" ref="B433" r:id="rId856"/>
    <hyperlink display="https://my.zakupki.prom.ua/remote/dispatcher/state_contracting_view/5881524" ref="D433" r:id="rId857"/>
    <hyperlink display="https://my.zakupki.prom.ua/remote/dispatcher/state_purchase_view/20275290" ref="B434" r:id="rId858"/>
    <hyperlink display="https://my.zakupki.prom.ua/remote/dispatcher/state_contracting_view/5959314" ref="D434" r:id="rId859"/>
    <hyperlink display="https://my.zakupki.prom.ua/remote/dispatcher/state_purchase_view/21185247" ref="B435" r:id="rId860"/>
    <hyperlink display="https://my.zakupki.prom.ua/remote/dispatcher/state_contracting_view/6394111" ref="D435" r:id="rId861"/>
    <hyperlink display="https://my.zakupki.prom.ua/remote/dispatcher/state_purchase_view/21153388" ref="B436" r:id="rId862"/>
    <hyperlink display="https://my.zakupki.prom.ua/remote/dispatcher/state_contracting_view/6379165" ref="D436" r:id="rId863"/>
    <hyperlink display="https://my.zakupki.prom.ua/remote/dispatcher/state_purchase_view/21366695" ref="B437" r:id="rId864"/>
    <hyperlink display="https://my.zakupki.prom.ua/remote/dispatcher/state_contracting_view/6478298" ref="D437" r:id="rId865"/>
    <hyperlink display="https://my.zakupki.prom.ua/remote/dispatcher/state_purchase_view/21312592" ref="B438" r:id="rId866"/>
    <hyperlink display="https://my.zakupki.prom.ua/remote/dispatcher/state_contracting_view/6452759" ref="D438" r:id="rId867"/>
    <hyperlink display="https://my.zakupki.prom.ua/remote/dispatcher/state_purchase_view/18786507" ref="B439" r:id="rId868"/>
    <hyperlink display="https://my.zakupki.prom.ua/remote/dispatcher/state_contracting_view/5255165" ref="D439" r:id="rId869"/>
    <hyperlink display="https://my.zakupki.prom.ua/remote/dispatcher/state_purchase_view/18482419" ref="B440" r:id="rId870"/>
    <hyperlink display="https://my.zakupki.prom.ua/remote/dispatcher/state_contracting_view/5110845" ref="D440" r:id="rId871"/>
    <hyperlink display="https://my.zakupki.prom.ua/remote/dispatcher/state_purchase_view/18426917" ref="B441" r:id="rId872"/>
    <hyperlink display="https://my.zakupki.prom.ua/remote/dispatcher/state_contracting_view/5084910" ref="D441" r:id="rId873"/>
    <hyperlink display="https://my.zakupki.prom.ua/remote/dispatcher/state_purchase_view/18513064" ref="B442" r:id="rId874"/>
    <hyperlink display="https://my.zakupki.prom.ua/remote/dispatcher/state_contracting_view/5124965" ref="D442" r:id="rId875"/>
    <hyperlink display="https://my.zakupki.prom.ua/remote/dispatcher/state_purchase_view/18600475" ref="B443" r:id="rId876"/>
    <hyperlink display="https://my.zakupki.prom.ua/remote/dispatcher/state_contracting_view/5165949" ref="D443" r:id="rId877"/>
    <hyperlink display="https://my.zakupki.prom.ua/remote/dispatcher/state_purchase_view/18778063" ref="B444" r:id="rId878"/>
    <hyperlink display="https://my.zakupki.prom.ua/remote/dispatcher/state_contracting_view/5252726" ref="D444" r:id="rId879"/>
    <hyperlink display="https://my.zakupki.prom.ua/remote/dispatcher/state_purchase_view/18264161" ref="B445" r:id="rId880"/>
    <hyperlink display="https://my.zakupki.prom.ua/remote/dispatcher/state_contracting_view/5076821" ref="D445" r:id="rId881"/>
    <hyperlink display="https://my.zakupki.prom.ua/remote/dispatcher/state_purchase_view/18302407" ref="B446" r:id="rId882"/>
    <hyperlink display="https://my.zakupki.prom.ua/remote/dispatcher/state_contracting_view/5076969" ref="D446" r:id="rId883"/>
    <hyperlink display="https://my.zakupki.prom.ua/remote/dispatcher/state_purchase_view/20427417" ref="B447" r:id="rId884"/>
    <hyperlink display="https://my.zakupki.prom.ua/remote/dispatcher/state_contracting_view/6033161" ref="D447" r:id="rId885"/>
    <hyperlink display="https://my.zakupki.prom.ua/remote/dispatcher/state_purchase_view/20730563" ref="B448" r:id="rId886"/>
    <hyperlink display="https://my.zakupki.prom.ua/remote/dispatcher/state_contracting_view/6179760" ref="D448" r:id="rId887"/>
    <hyperlink display="https://my.zakupki.prom.ua/remote/dispatcher/state_purchase_view/17723666" ref="B449" r:id="rId888"/>
    <hyperlink display="https://my.zakupki.prom.ua/remote/dispatcher/state_contracting_view/4757212" ref="D449" r:id="rId889"/>
    <hyperlink display="https://my.zakupki.prom.ua/remote/dispatcher/state_purchase_view/17327283" ref="B450" r:id="rId890"/>
    <hyperlink display="https://my.zakupki.prom.ua/remote/dispatcher/state_contracting_view/4573461" ref="D450" r:id="rId891"/>
    <hyperlink display="https://my.zakupki.prom.ua/remote/dispatcher/state_purchase_view/17761243" ref="B451" r:id="rId892"/>
    <hyperlink display="https://my.zakupki.prom.ua/remote/dispatcher/state_contracting_view/4774266" ref="D451" r:id="rId893"/>
    <hyperlink display="https://my.zakupki.prom.ua/remote/dispatcher/state_purchase_view/18025995" ref="B452" r:id="rId894"/>
    <hyperlink display="https://my.zakupki.prom.ua/remote/dispatcher/state_contracting_view/4898068" ref="D452" r:id="rId895"/>
    <hyperlink display="https://my.zakupki.prom.ua/remote/dispatcher/state_purchase_view/17960258" ref="B453" r:id="rId896"/>
    <hyperlink display="https://my.zakupki.prom.ua/remote/dispatcher/state_contracting_view/4866886" ref="D453" r:id="rId897"/>
    <hyperlink display="https://my.zakupki.prom.ua/remote/dispatcher/state_purchase_view/17605058" ref="B454" r:id="rId898"/>
    <hyperlink display="https://my.zakupki.prom.ua/remote/dispatcher/state_contracting_view/4705263" ref="D454" r:id="rId899"/>
    <hyperlink display="https://my.zakupki.prom.ua/remote/dispatcher/state_purchase_view/21459502" ref="B455" r:id="rId900"/>
    <hyperlink display="https://my.zakupki.prom.ua/remote/dispatcher/state_contracting_view/6521610" ref="D455" r:id="rId901"/>
    <hyperlink display="https://my.zakupki.prom.ua/remote/dispatcher/state_purchase_view/21478321" ref="B456" r:id="rId902"/>
    <hyperlink display="https://my.zakupki.prom.ua/remote/dispatcher/state_contracting_view/6530541" ref="D456" r:id="rId903"/>
    <hyperlink display="https://my.zakupki.prom.ua/remote/dispatcher/state_purchase_view/21986126" ref="B457" r:id="rId904"/>
    <hyperlink display="https://my.zakupki.prom.ua/remote/dispatcher/state_contracting_view/6768370" ref="D457" r:id="rId905"/>
    <hyperlink display="https://my.zakupki.prom.ua/remote/dispatcher/state_purchase_view/18996695" ref="B458" r:id="rId906"/>
    <hyperlink display="https://my.zakupki.prom.ua/remote/dispatcher/state_contracting_view/5354666" ref="D458" r:id="rId907"/>
    <hyperlink display="https://my.zakupki.prom.ua/remote/dispatcher/state_purchase_view/18964474" ref="B459" r:id="rId908"/>
    <hyperlink display="https://my.zakupki.prom.ua/remote/dispatcher/state_contracting_view/5342289" ref="D459" r:id="rId909"/>
    <hyperlink display="https://my.zakupki.prom.ua/remote/dispatcher/state_purchase_view/21586641" ref="B460" r:id="rId910"/>
    <hyperlink display="https://my.zakupki.prom.ua/remote/dispatcher/state_contracting_view/6581560" ref="D460" r:id="rId911"/>
    <hyperlink display="https://my.zakupki.prom.ua/remote/dispatcher/state_purchase_view/22015592" ref="B461" r:id="rId912"/>
    <hyperlink display="https://my.zakupki.prom.ua/remote/dispatcher/state_contracting_view/6782546" ref="D461" r:id="rId913"/>
    <hyperlink display="https://my.zakupki.prom.ua/remote/dispatcher/state_purchase_view/21700588" ref="B462" r:id="rId914"/>
    <hyperlink display="https://my.zakupki.prom.ua/remote/dispatcher/state_contracting_view/6634794" ref="D462" r:id="rId915"/>
    <hyperlink display="https://my.zakupki.prom.ua/remote/dispatcher/state_purchase_view/14859168" ref="B463" r:id="rId916"/>
    <hyperlink display="https://my.zakupki.prom.ua/remote/dispatcher/state_contracting_view/3694488" ref="D463" r:id="rId917"/>
    <hyperlink display="https://my.zakupki.prom.ua/remote/dispatcher/state_purchase_view/15186276" ref="B464" r:id="rId918"/>
    <hyperlink display="https://my.zakupki.prom.ua/remote/dispatcher/state_contracting_view/3773601" ref="D464" r:id="rId919"/>
    <hyperlink display="https://my.zakupki.prom.ua/remote/dispatcher/state_purchase_view/15721296" ref="B465" r:id="rId920"/>
    <hyperlink display="https://my.zakupki.prom.ua/remote/dispatcher/state_contracting_view/3929769" ref="D465" r:id="rId921"/>
    <hyperlink display="https://my.zakupki.prom.ua/remote/dispatcher/state_purchase_view/15721920" ref="B466" r:id="rId922"/>
    <hyperlink display="https://my.zakupki.prom.ua/remote/dispatcher/state_contracting_view/3929941" ref="D466" r:id="rId923"/>
    <hyperlink display="https://my.zakupki.prom.ua/remote/dispatcher/state_purchase_view/16399634" ref="B467" r:id="rId924"/>
    <hyperlink display="https://my.zakupki.prom.ua/remote/dispatcher/state_contracting_view/4157025" ref="D467" r:id="rId925"/>
    <hyperlink display="https://my.zakupki.prom.ua/remote/dispatcher/state_purchase_view/15692992" ref="B468" r:id="rId926"/>
    <hyperlink display="https://my.zakupki.prom.ua/remote/dispatcher/state_contracting_view/3917035" ref="D468" r:id="rId927"/>
    <hyperlink display="https://my.zakupki.prom.ua/remote/dispatcher/state_purchase_view/15706702" ref="B469" r:id="rId928"/>
    <hyperlink display="https://my.zakupki.prom.ua/remote/dispatcher/state_contracting_view/3920942" ref="D469" r:id="rId929"/>
    <hyperlink display="https://my.zakupki.prom.ua/remote/dispatcher/state_purchase_view/15970236" ref="B470" r:id="rId930"/>
    <hyperlink display="https://my.zakupki.prom.ua/remote/dispatcher/state_contracting_view/4004857" ref="D470" r:id="rId931"/>
    <hyperlink display="https://my.zakupki.prom.ua/remote/dispatcher/state_purchase_view/15970409" ref="B471" r:id="rId932"/>
    <hyperlink display="https://my.zakupki.prom.ua/remote/dispatcher/state_contracting_view/4004978" ref="D471" r:id="rId933"/>
    <hyperlink display="https://my.zakupki.prom.ua/remote/dispatcher/state_purchase_view/17222996" ref="B472" r:id="rId934"/>
    <hyperlink display="https://my.zakupki.prom.ua/remote/dispatcher/state_contracting_view/4525228" ref="D472" r:id="rId935"/>
    <hyperlink display="https://my.zakupki.prom.ua/remote/dispatcher/state_purchase_view/22183218" ref="B473" r:id="rId936"/>
    <hyperlink display="https://my.zakupki.prom.ua/remote/dispatcher/state_contracting_view/6863878" ref="D473" r:id="rId937"/>
    <hyperlink display="https://my.zakupki.prom.ua/remote/dispatcher/state_purchase_view/21754507" ref="B474" r:id="rId938"/>
    <hyperlink display="https://my.zakupki.prom.ua/remote/dispatcher/state_contracting_view/6934638" ref="D474" r:id="rId939"/>
    <hyperlink display="https://my.zakupki.prom.ua/remote/dispatcher/state_purchase_view/21837693" ref="B475" r:id="rId940"/>
    <hyperlink display="https://my.zakupki.prom.ua/remote/dispatcher/state_contracting_view/6697188" ref="D475" r:id="rId941"/>
    <hyperlink display="https://my.zakupki.prom.ua/remote/dispatcher/state_purchase_view/22108606" ref="B476" r:id="rId942"/>
    <hyperlink display="https://my.zakupki.prom.ua/remote/dispatcher/state_contracting_view/6826840" ref="D476" r:id="rId943"/>
    <hyperlink display="https://my.zakupki.prom.ua/remote/dispatcher/state_purchase_view/22459321" ref="B477" r:id="rId944"/>
    <hyperlink display="https://my.zakupki.prom.ua/remote/dispatcher/state_contracting_view/6996396" ref="D477" r:id="rId945"/>
    <hyperlink display="https://my.zakupki.prom.ua/remote/dispatcher/state_purchase_view/22773445" ref="B478" r:id="rId946"/>
    <hyperlink display="https://my.zakupki.prom.ua/remote/dispatcher/state_contracting_view/7150161" ref="D478" r:id="rId947"/>
    <hyperlink display="https://my.zakupki.prom.ua/remote/dispatcher/state_purchase_view/22732581" ref="B479" r:id="rId948"/>
    <hyperlink display="https://my.zakupki.prom.ua/remote/dispatcher/state_contracting_view/7130542" ref="D479" r:id="rId949"/>
    <hyperlink display="https://my.zakupki.prom.ua/remote/dispatcher/state_purchase_view/20888768" ref="B480" r:id="rId950"/>
    <hyperlink display="https://my.zakupki.prom.ua/remote/dispatcher/state_contracting_view/6255321" ref="D480" r:id="rId951"/>
    <hyperlink display="https://my.zakupki.prom.ua/remote/dispatcher/state_purchase_view/15892547" ref="B481" r:id="rId952"/>
    <hyperlink display="https://my.zakupki.prom.ua/remote/dispatcher/state_contracting_view/3978715" ref="D481" r:id="rId953"/>
    <hyperlink display="https://my.zakupki.prom.ua/remote/dispatcher/state_purchase_view/16218588" ref="B482" r:id="rId954"/>
    <hyperlink display="https://my.zakupki.prom.ua/remote/dispatcher/state_contracting_view/4091381" ref="D482" r:id="rId955"/>
    <hyperlink display="https://my.zakupki.prom.ua/remote/dispatcher/state_purchase_view/15319948" ref="B483" r:id="rId956"/>
    <hyperlink display="https://my.zakupki.prom.ua/remote/dispatcher/state_contracting_view/3809257" ref="D483" r:id="rId957"/>
    <hyperlink display="https://my.zakupki.prom.ua/remote/dispatcher/state_purchase_view/17488754" ref="B484" r:id="rId958"/>
    <hyperlink display="https://my.zakupki.prom.ua/remote/dispatcher/state_contracting_view/4647863" ref="D484" r:id="rId959"/>
    <hyperlink display="https://my.zakupki.prom.ua/remote/dispatcher/state_purchase_view/17488975" ref="B485" r:id="rId960"/>
    <hyperlink display="https://my.zakupki.prom.ua/remote/dispatcher/state_contracting_view/4647910" ref="D485" r:id="rId961"/>
    <hyperlink display="https://my.zakupki.prom.ua/remote/dispatcher/state_purchase_view/17593860" ref="B486" r:id="rId962"/>
    <hyperlink display="https://my.zakupki.prom.ua/remote/dispatcher/state_contracting_view/4697000" ref="D486" r:id="rId963"/>
    <hyperlink display="https://my.zakupki.prom.ua/remote/dispatcher/state_purchase_view/17593985" ref="B487" r:id="rId964"/>
    <hyperlink display="https://my.zakupki.prom.ua/remote/dispatcher/state_contracting_view/4697068" ref="D487" r:id="rId965"/>
    <hyperlink display="https://my.zakupki.prom.ua/remote/dispatcher/state_purchase_view/18601157" ref="B488" r:id="rId966"/>
    <hyperlink display="https://my.zakupki.prom.ua/remote/dispatcher/state_contracting_view/5166370" ref="D488" r:id="rId967"/>
    <hyperlink display="https://my.zakupki.prom.ua/remote/dispatcher/state_purchase_view/20824501" ref="B489" r:id="rId968"/>
    <hyperlink display="https://my.zakupki.prom.ua/remote/dispatcher/state_contracting_view/6224339" ref="D489" r:id="rId969"/>
    <hyperlink display="https://my.zakupki.prom.ua/remote/dispatcher/state_purchase_view/20532044" ref="B490" r:id="rId970"/>
    <hyperlink display="https://my.zakupki.prom.ua/remote/dispatcher/state_contracting_view/6085814" ref="D490" r:id="rId971"/>
    <hyperlink display="https://my.zakupki.prom.ua/remote/dispatcher/state_purchase_view/20624044" ref="B491" r:id="rId972"/>
    <hyperlink display="https://my.zakupki.prom.ua/remote/dispatcher/state_contracting_view/6129534" ref="D491" r:id="rId973"/>
    <hyperlink display="https://my.zakupki.prom.ua/remote/dispatcher/state_purchase_view/20650401" ref="B492" r:id="rId974"/>
    <hyperlink display="https://my.zakupki.prom.ua/remote/dispatcher/state_contracting_view/6141648" ref="D492" r:id="rId975"/>
    <hyperlink display="https://my.zakupki.prom.ua/remote/dispatcher/state_purchase_view/20651051" ref="B493" r:id="rId976"/>
    <hyperlink display="https://my.zakupki.prom.ua/remote/dispatcher/state_contracting_view/6142019" ref="D493" r:id="rId977"/>
    <hyperlink display="https://my.zakupki.prom.ua/remote/dispatcher/state_purchase_view/20652453" ref="B494" r:id="rId978"/>
    <hyperlink display="https://my.zakupki.prom.ua/remote/dispatcher/state_contracting_view/6142931" ref="D494" r:id="rId979"/>
    <hyperlink display="https://my.zakupki.prom.ua/remote/dispatcher/state_purchase_view/20708064" ref="B495" r:id="rId980"/>
    <hyperlink display="https://my.zakupki.prom.ua/remote/dispatcher/state_contracting_view/6168923" ref="D495" r:id="rId981"/>
    <hyperlink display="https://my.zakupki.prom.ua/remote/dispatcher/state_purchase_view/16490325" ref="B496" r:id="rId982"/>
    <hyperlink display="https://my.zakupki.prom.ua/remote/dispatcher/state_contracting_view/4197929" ref="D496" r:id="rId983"/>
    <hyperlink display="https://my.zakupki.prom.ua/remote/dispatcher/state_purchase_view/17068935" ref="B497" r:id="rId984"/>
    <hyperlink display="https://my.zakupki.prom.ua/remote/dispatcher/state_contracting_view/4454318" ref="D497" r:id="rId985"/>
    <hyperlink display="https://my.zakupki.prom.ua/remote/dispatcher/state_purchase_view/16356153" ref="B498" r:id="rId986"/>
    <hyperlink display="https://my.zakupki.prom.ua/remote/dispatcher/state_contracting_view/4140115" ref="D498" r:id="rId987"/>
    <hyperlink display="https://my.zakupki.prom.ua/remote/dispatcher/state_purchase_view/17028909" ref="B499" r:id="rId988"/>
    <hyperlink display="https://my.zakupki.prom.ua/remote/dispatcher/state_contracting_view/4436477" ref="D499" r:id="rId989"/>
    <hyperlink display="https://my.zakupki.prom.ua/remote/dispatcher/state_purchase_view/16855951" ref="B500" r:id="rId990"/>
    <hyperlink display="https://my.zakupki.prom.ua/remote/dispatcher/state_contracting_view/4358153" ref="D500" r:id="rId991"/>
    <hyperlink display="https://my.zakupki.prom.ua/remote/dispatcher/state_purchase_view/17712770" ref="B501" r:id="rId992"/>
    <hyperlink display="https://my.zakupki.prom.ua/remote/dispatcher/state_contracting_view/4752255" ref="D501" r:id="rId993"/>
    <hyperlink display="https://my.zakupki.prom.ua/remote/dispatcher/state_purchase_view/18260190" ref="B502" r:id="rId994"/>
    <hyperlink display="https://my.zakupki.prom.ua/remote/dispatcher/state_contracting_view/5006684" ref="D502" r:id="rId995"/>
    <hyperlink display="https://my.zakupki.prom.ua/remote/dispatcher/state_purchase_view/18182742" ref="B503" r:id="rId996"/>
    <hyperlink display="https://my.zakupki.prom.ua/remote/dispatcher/state_contracting_view/4971725" ref="D503" r:id="rId997"/>
    <hyperlink display="https://my.zakupki.prom.ua/remote/dispatcher/state_purchase_view/18422914" ref="B504" r:id="rId998"/>
    <hyperlink display="https://my.zakupki.prom.ua/remote/dispatcher/state_contracting_view/5082239" ref="D504" r:id="rId999"/>
    <hyperlink display="https://my.zakupki.prom.ua/remote/dispatcher/state_purchase_view/18267254" ref="B505" r:id="rId1000"/>
    <hyperlink display="https://my.zakupki.prom.ua/remote/dispatcher/state_contracting_view/5076844" ref="D505" r:id="rId1001"/>
    <hyperlink display="https://my.zakupki.prom.ua/remote/dispatcher/state_purchase_view/18460240" ref="B506" r:id="rId1002"/>
    <hyperlink display="https://my.zakupki.prom.ua/remote/dispatcher/state_contracting_view/5153624" ref="D506" r:id="rId1003"/>
    <hyperlink display="https://my.zakupki.prom.ua/remote/dispatcher/state_purchase_view/18313438" ref="B507" r:id="rId1004"/>
    <hyperlink display="https://my.zakupki.prom.ua/remote/dispatcher/state_contracting_view/5091901" ref="D507" r:id="rId1005"/>
    <hyperlink display="https://my.zakupki.prom.ua/remote/dispatcher/state_purchase_view/18555099" ref="B508" r:id="rId1006"/>
    <hyperlink display="https://my.zakupki.prom.ua/remote/dispatcher/state_contracting_view/5144742" ref="D508" r:id="rId1007"/>
    <hyperlink display="https://my.zakupki.prom.ua/remote/dispatcher/state_purchase_view/17441116" ref="B509" r:id="rId1008"/>
    <hyperlink display="https://my.zakupki.prom.ua/remote/dispatcher/state_contracting_view/4625738" ref="D509" r:id="rId1009"/>
    <hyperlink display="https://my.zakupki.prom.ua/remote/dispatcher/state_purchase_view/17850134" ref="B510" r:id="rId1010"/>
    <hyperlink display="https://my.zakupki.prom.ua/remote/dispatcher/state_contracting_view/4815835" ref="D510" r:id="rId1011"/>
    <hyperlink display="https://my.zakupki.prom.ua/remote/dispatcher/state_purchase_view/17856153" ref="B511" r:id="rId1012"/>
    <hyperlink display="https://my.zakupki.prom.ua/remote/dispatcher/state_contracting_view/4818606" ref="D511" r:id="rId1013"/>
    <hyperlink display="https://my.zakupki.prom.ua/remote/dispatcher/state_purchase_view/17912151" ref="B512" r:id="rId1014"/>
    <hyperlink display="https://my.zakupki.prom.ua/remote/dispatcher/state_contracting_view/4844407" ref="D512" r:id="rId1015"/>
    <hyperlink display="https://my.zakupki.prom.ua/remote/dispatcher/state_purchase_view/17978774" ref="B513" r:id="rId1016"/>
    <hyperlink display="https://my.zakupki.prom.ua/remote/dispatcher/state_contracting_view/4875660" ref="D513" r:id="rId1017"/>
    <hyperlink display="https://my.zakupki.prom.ua/remote/dispatcher/state_purchase_view/17800154" ref="B514" r:id="rId1018"/>
    <hyperlink display="https://my.zakupki.prom.ua/remote/dispatcher/state_contracting_view/4792755" ref="D514" r:id="rId1019"/>
    <hyperlink display="https://my.zakupki.prom.ua/remote/dispatcher/state_purchase_view/17831478" ref="B515" r:id="rId1020"/>
    <hyperlink display="https://my.zakupki.prom.ua/remote/dispatcher/state_contracting_view/4807134" ref="D515" r:id="rId1021"/>
    <hyperlink display="https://my.zakupki.prom.ua/remote/dispatcher/state_purchase_view/18097152" ref="B516" r:id="rId1022"/>
    <hyperlink display="https://my.zakupki.prom.ua/remote/dispatcher/state_contracting_view/4932090" ref="D516" r:id="rId1023"/>
    <hyperlink display="https://my.zakupki.prom.ua/remote/dispatcher/state_purchase_view/18121869" ref="B517" r:id="rId1024"/>
    <hyperlink display="https://my.zakupki.prom.ua/remote/dispatcher/state_contracting_view/4943030" ref="D517" r:id="rId1025"/>
    <hyperlink display="https://my.zakupki.prom.ua/remote/dispatcher/state_purchase_view/19242982" ref="B518" r:id="rId1026"/>
    <hyperlink display="https://my.zakupki.prom.ua/remote/dispatcher/state_contracting_view/5471479" ref="D518" r:id="rId1027"/>
    <hyperlink display="https://my.zakupki.prom.ua/remote/dispatcher/state_purchase_view/18985552" ref="B519" r:id="rId1028"/>
    <hyperlink display="https://my.zakupki.prom.ua/remote/dispatcher/state_contracting_view/5349130" ref="D519" r:id="rId1029"/>
    <hyperlink display="https://my.zakupki.prom.ua/remote/dispatcher/state_purchase_view/19566552" ref="B520" r:id="rId1030"/>
    <hyperlink display="https://my.zakupki.prom.ua/remote/dispatcher/state_contracting_view/5624124" ref="D520" r:id="rId1031"/>
    <hyperlink display="https://my.zakupki.prom.ua/remote/dispatcher/state_purchase_view/19481769" ref="B521" r:id="rId1032"/>
    <hyperlink display="https://my.zakupki.prom.ua/remote/dispatcher/state_contracting_view/5584118" ref="D521" r:id="rId1033"/>
    <hyperlink display="https://my.zakupki.prom.ua/remote/dispatcher/state_purchase_view/19694963" ref="B522" r:id="rId1034"/>
    <hyperlink display="https://my.zakupki.prom.ua/remote/dispatcher/state_contracting_view/5685651" ref="D522" r:id="rId1035"/>
    <hyperlink display="https://my.zakupki.prom.ua/remote/dispatcher/state_purchase_view/19657531" ref="B523" r:id="rId1036"/>
    <hyperlink display="https://my.zakupki.prom.ua/remote/dispatcher/state_contracting_view/5667824" ref="D523" r:id="rId1037"/>
    <hyperlink display="https://my.zakupki.prom.ua/remote/dispatcher/state_purchase_view/19939747" ref="B524" r:id="rId1038"/>
    <hyperlink display="https://my.zakupki.prom.ua/remote/dispatcher/state_contracting_view/5800846" ref="D524" r:id="rId1039"/>
    <hyperlink display="https://my.zakupki.prom.ua/remote/dispatcher/state_purchase_view/19118070" ref="B525" r:id="rId1040"/>
    <hyperlink display="https://my.zakupki.prom.ua/remote/dispatcher/state_contracting_view/5412165" ref="D525" r:id="rId1041"/>
    <hyperlink display="https://my.zakupki.prom.ua/remote/dispatcher/state_purchase_view/19348640" ref="B526" r:id="rId1042"/>
    <hyperlink display="https://my.zakupki.prom.ua/remote/dispatcher/state_contracting_view/5521728" ref="D526" r:id="rId1043"/>
    <hyperlink display="https://my.zakupki.prom.ua/remote/dispatcher/state_purchase_view/19435253" ref="B527" r:id="rId1044"/>
    <hyperlink display="https://my.zakupki.prom.ua/remote/dispatcher/state_contracting_view/5562351" ref="D527" r:id="rId1045"/>
    <hyperlink display="https://my.zakupki.prom.ua/remote/dispatcher/state_purchase_view/20026852" ref="B528" r:id="rId1046"/>
    <hyperlink display="https://my.zakupki.prom.ua/remote/dispatcher/state_contracting_view/5839908" ref="D528" r:id="rId1047"/>
    <hyperlink display="https://my.zakupki.prom.ua/remote/dispatcher/state_purchase_view/20014011" ref="B529" r:id="rId1048"/>
    <hyperlink display="https://my.zakupki.prom.ua/remote/dispatcher/state_contracting_view/5834153" ref="D529" r:id="rId1049"/>
    <hyperlink display="https://my.zakupki.prom.ua/remote/dispatcher/state_purchase_view/20211929" ref="B530" r:id="rId1050"/>
    <hyperlink display="https://my.zakupki.prom.ua/remote/dispatcher/state_contracting_view/5928850" ref="D530" r:id="rId1051"/>
    <hyperlink display="https://my.zakupki.prom.ua/remote/dispatcher/state_purchase_view/20114844" ref="B531" r:id="rId1052"/>
    <hyperlink display="https://my.zakupki.prom.ua/remote/dispatcher/state_contracting_view/5882834" ref="D531" r:id="rId1053"/>
    <hyperlink display="https://my.zakupki.prom.ua/remote/dispatcher/state_purchase_view/20204541" ref="B532" r:id="rId1054"/>
    <hyperlink display="https://my.zakupki.prom.ua/remote/dispatcher/state_contracting_view/5925029" ref="D532" r:id="rId1055"/>
    <hyperlink display="https://my.zakupki.prom.ua/remote/dispatcher/state_purchase_view/17616361" ref="B533" r:id="rId1056"/>
    <hyperlink display="https://my.zakupki.prom.ua/remote/dispatcher/state_contracting_view/4707062" ref="D533" r:id="rId1057"/>
    <hyperlink display="https://my.zakupki.prom.ua/remote/dispatcher/state_purchase_view/17653724" ref="B534" r:id="rId1058"/>
    <hyperlink display="https://my.zakupki.prom.ua/remote/dispatcher/state_contracting_view/4724650" ref="D534" r:id="rId1059"/>
    <hyperlink display="https://my.zakupki.prom.ua/remote/dispatcher/state_purchase_view/16726371" ref="B535" r:id="rId1060"/>
    <hyperlink display="https://my.zakupki.prom.ua/remote/dispatcher/state_contracting_view/4298827" ref="D535" r:id="rId1061"/>
    <hyperlink display="https://my.zakupki.prom.ua/remote/dispatcher/state_purchase_view/18138997" ref="B536" r:id="rId1062"/>
    <hyperlink display="https://my.zakupki.prom.ua/remote/dispatcher/state_contracting_view/4950710" ref="D536" r:id="rId1063"/>
    <hyperlink display="https://my.zakupki.prom.ua/remote/dispatcher/state_purchase_view/18654185" ref="B537" r:id="rId1064"/>
    <hyperlink display="https://my.zakupki.prom.ua/remote/dispatcher/state_contracting_view/5191241" ref="D537" r:id="rId1065"/>
    <hyperlink display="https://my.zakupki.prom.ua/remote/dispatcher/state_purchase_view/18645009" ref="B538" r:id="rId1066"/>
    <hyperlink display="https://my.zakupki.prom.ua/remote/dispatcher/state_contracting_view/5187124" ref="D538" r:id="rId1067"/>
    <hyperlink display="https://my.zakupki.prom.ua/remote/dispatcher/state_purchase_view/18070447" ref="B539" r:id="rId1068"/>
    <hyperlink display="https://my.zakupki.prom.ua/remote/dispatcher/state_contracting_view/4918736" ref="D539" r:id="rId1069"/>
    <hyperlink display="https://my.zakupki.prom.ua/remote/dispatcher/state_purchase_view/18791337" ref="B540" r:id="rId1070"/>
    <hyperlink display="https://my.zakupki.prom.ua/remote/dispatcher/state_contracting_view/5257507" ref="D540" r:id="rId1071"/>
    <hyperlink display="https://my.zakupki.prom.ua/remote/dispatcher/state_purchase_view/21695192" ref="B541" r:id="rId1072"/>
    <hyperlink display="https://my.zakupki.prom.ua/remote/dispatcher/state_contracting_view/6631916" ref="D541" r:id="rId1073"/>
    <hyperlink display="https://my.zakupki.prom.ua/remote/dispatcher/state_purchase_view/20896956" ref="B542" r:id="rId1074"/>
    <hyperlink display="https://my.zakupki.prom.ua/remote/dispatcher/state_contracting_view/6261002" ref="D542" r:id="rId1075"/>
    <hyperlink display="https://my.zakupki.prom.ua/remote/dispatcher/state_purchase_view/20885001" ref="B543" r:id="rId1076"/>
    <hyperlink display="https://my.zakupki.prom.ua/remote/dispatcher/state_contracting_view/6253280" ref="D543" r:id="rId1077"/>
    <hyperlink display="https://my.zakupki.prom.ua/remote/dispatcher/state_purchase_view/21853753" ref="B544" r:id="rId1078"/>
    <hyperlink display="https://my.zakupki.prom.ua/remote/dispatcher/state_contracting_view/6705032" ref="D544" r:id="rId1079"/>
    <hyperlink display="https://my.zakupki.prom.ua/remote/dispatcher/state_purchase_view/21989070" ref="B545" r:id="rId1080"/>
    <hyperlink display="https://my.zakupki.prom.ua/remote/dispatcher/state_contracting_view/6769637" ref="D545" r:id="rId1081"/>
    <hyperlink display="https://my.zakupki.prom.ua/remote/dispatcher/state_purchase_view/22098105" ref="B546" r:id="rId1082"/>
    <hyperlink display="https://my.zakupki.prom.ua/remote/dispatcher/state_contracting_view/6821944" ref="D546" r:id="rId1083"/>
    <hyperlink display="https://my.zakupki.prom.ua/remote/dispatcher/state_purchase_view/22098680" ref="B547" r:id="rId1084"/>
    <hyperlink display="https://my.zakupki.prom.ua/remote/dispatcher/state_contracting_view/6822133" ref="D547" r:id="rId1085"/>
    <hyperlink display="https://my.zakupki.prom.ua/remote/dispatcher/state_purchase_view/22096531" ref="B548" r:id="rId1086"/>
    <hyperlink display="https://my.zakupki.prom.ua/remote/dispatcher/state_contracting_view/6821223" ref="D548" r:id="rId1087"/>
    <hyperlink display="https://my.zakupki.prom.ua/remote/dispatcher/state_purchase_view/22732158" ref="B549" r:id="rId1088"/>
    <hyperlink display="https://my.zakupki.prom.ua/remote/dispatcher/state_contracting_view/7129887" ref="D549" r:id="rId1089"/>
    <hyperlink display="https://my.zakupki.prom.ua/remote/dispatcher/state_purchase_view/16726956" ref="B550" r:id="rId1090"/>
    <hyperlink display="https://my.zakupki.prom.ua/remote/dispatcher/state_contracting_view/4299168" ref="D550" r:id="rId1091"/>
    <hyperlink display="https://my.zakupki.prom.ua/remote/dispatcher/state_purchase_view/15397814" ref="B551" r:id="rId1092"/>
    <hyperlink display="https://my.zakupki.prom.ua/remote/dispatcher/state_contracting_view/3830390" ref="D551" r:id="rId1093"/>
    <hyperlink display="https://my.zakupki.prom.ua/remote/dispatcher/state_purchase_view/15190849" ref="B552" r:id="rId1094"/>
    <hyperlink display="https://my.zakupki.prom.ua/remote/dispatcher/state_contracting_view/3774810" ref="D552" r:id="rId1095"/>
    <hyperlink display="https://my.zakupki.prom.ua/remote/dispatcher/state_purchase_view/15679006" ref="B553" r:id="rId1096"/>
    <hyperlink display="https://my.zakupki.prom.ua/remote/dispatcher/state_contracting_view/3912622" ref="D553" r:id="rId1097"/>
    <hyperlink display="https://my.zakupki.prom.ua/remote/dispatcher/state_purchase_view/16357392" ref="B554" r:id="rId1098"/>
    <hyperlink display="https://my.zakupki.prom.ua/remote/dispatcher/state_contracting_view/4140607" ref="D554" r:id="rId1099"/>
    <hyperlink display="https://my.zakupki.prom.ua/remote/dispatcher/state_purchase_view/16206066" ref="B555" r:id="rId1100"/>
    <hyperlink display="https://my.zakupki.prom.ua/remote/dispatcher/state_contracting_view/4087081" ref="D555" r:id="rId1101"/>
    <hyperlink display="https://my.zakupki.prom.ua/remote/dispatcher/state_purchase_view/17489043" ref="B556" r:id="rId1102"/>
    <hyperlink display="https://my.zakupki.prom.ua/remote/dispatcher/state_contracting_view/4651127" ref="D556" r:id="rId1103"/>
    <hyperlink display="https://my.zakupki.prom.ua/remote/dispatcher/state_purchase_view/17801654" ref="B557" r:id="rId1104"/>
    <hyperlink display="https://my.zakupki.prom.ua/remote/dispatcher/state_contracting_view/4793178" ref="D557" r:id="rId1105"/>
    <hyperlink display="https://my.zakupki.prom.ua/remote/dispatcher/state_purchase_view/17638202" ref="B558" r:id="rId1106"/>
    <hyperlink display="https://my.zakupki.prom.ua/remote/dispatcher/state_contracting_view/4730047" ref="D558" r:id="rId1107"/>
    <hyperlink display="https://my.zakupki.prom.ua/remote/dispatcher/state_purchase_view/18280821" ref="B559" r:id="rId1108"/>
    <hyperlink display="https://my.zakupki.prom.ua/remote/dispatcher/state_contracting_view/5016536" ref="D559" r:id="rId1109"/>
    <hyperlink display="https://my.zakupki.prom.ua/remote/dispatcher/state_purchase_view/18129354" ref="B560" r:id="rId1110"/>
    <hyperlink display="https://my.zakupki.prom.ua/remote/dispatcher/state_contracting_view/5003309" ref="D560" r:id="rId1111"/>
    <hyperlink display="https://my.zakupki.prom.ua/remote/dispatcher/state_purchase_view/18186710" ref="B561" r:id="rId1112"/>
    <hyperlink display="https://my.zakupki.prom.ua/remote/dispatcher/state_contracting_view/4973535" ref="D561" r:id="rId1113"/>
    <hyperlink display="https://my.zakupki.prom.ua/remote/dispatcher/state_purchase_view/18233261" ref="B562" r:id="rId1114"/>
    <hyperlink display="https://my.zakupki.prom.ua/remote/dispatcher/state_contracting_view/4995167" ref="D562" r:id="rId1115"/>
    <hyperlink display="https://my.zakupki.prom.ua/remote/dispatcher/state_purchase_view/17035399" ref="B563" r:id="rId1116"/>
    <hyperlink display="https://my.zakupki.prom.ua/remote/dispatcher/state_contracting_view/4438956" ref="D563" r:id="rId1117"/>
    <hyperlink display="https://my.zakupki.prom.ua/remote/dispatcher/state_purchase_view/17983731" ref="B564" r:id="rId1118"/>
    <hyperlink display="https://my.zakupki.prom.ua/remote/dispatcher/state_contracting_view/4878098" ref="D564" r:id="rId1119"/>
    <hyperlink display="https://my.zakupki.prom.ua/remote/dispatcher/state_purchase_view/18150024" ref="B565" r:id="rId1120"/>
    <hyperlink display="https://my.zakupki.prom.ua/remote/dispatcher/state_contracting_view/4956336" ref="D565" r:id="rId1121"/>
    <hyperlink display="https://my.zakupki.prom.ua/remote/dispatcher/state_purchase_view/17960866" ref="B566" r:id="rId1122"/>
    <hyperlink display="https://my.zakupki.prom.ua/remote/dispatcher/state_contracting_view/4867027" ref="D566" r:id="rId1123"/>
    <hyperlink display="https://my.zakupki.prom.ua/remote/dispatcher/state_purchase_view/18340635" ref="B567" r:id="rId1124"/>
    <hyperlink display="https://my.zakupki.prom.ua/remote/dispatcher/state_contracting_view/5044155" ref="D567" r:id="rId1125"/>
    <hyperlink display="https://my.zakupki.prom.ua/remote/dispatcher/state_purchase_view/18317202" ref="B568" r:id="rId1126"/>
    <hyperlink display="https://my.zakupki.prom.ua/remote/dispatcher/state_contracting_view/5033014" ref="D568" r:id="rId1127"/>
    <hyperlink display="https://my.zakupki.prom.ua/remote/dispatcher/state_purchase_view/18514169" ref="B569" r:id="rId1128"/>
    <hyperlink display="https://my.zakupki.prom.ua/remote/dispatcher/state_contracting_view/5125377" ref="D569" r:id="rId1129"/>
    <hyperlink display="https://my.zakupki.prom.ua/remote/dispatcher/state_purchase_view/18523681" ref="B570" r:id="rId1130"/>
    <hyperlink display="https://my.zakupki.prom.ua/remote/dispatcher/state_contracting_view/5129794" ref="D570" r:id="rId1131"/>
    <hyperlink display="https://my.zakupki.prom.ua/remote/dispatcher/state_purchase_view/18555361" ref="B571" r:id="rId1132"/>
    <hyperlink display="https://my.zakupki.prom.ua/remote/dispatcher/state_contracting_view/5144969" ref="D571" r:id="rId1133"/>
    <hyperlink display="https://my.zakupki.prom.ua/remote/dispatcher/state_purchase_view/18597900" ref="B572" r:id="rId1134"/>
    <hyperlink display="https://my.zakupki.prom.ua/remote/dispatcher/state_contracting_view/5164527" ref="D572" r:id="rId1135"/>
    <hyperlink display="https://my.zakupki.prom.ua/remote/dispatcher/state_purchase_view/19732788" ref="B573" r:id="rId1136"/>
    <hyperlink display="https://my.zakupki.prom.ua/remote/dispatcher/state_contracting_view/5702769" ref="D573" r:id="rId1137"/>
    <hyperlink display="https://my.zakupki.prom.ua/remote/dispatcher/state_purchase_view/18995989" ref="B574" r:id="rId1138"/>
    <hyperlink display="https://my.zakupki.prom.ua/remote/dispatcher/state_contracting_view/5354497" ref="D574" r:id="rId1139"/>
    <hyperlink display="https://my.zakupki.prom.ua/remote/dispatcher/state_purchase_view/19089364" ref="B575" r:id="rId1140"/>
    <hyperlink display="https://my.zakupki.prom.ua/remote/dispatcher/state_contracting_view/5398509" ref="D575" r:id="rId1141"/>
    <hyperlink display="https://my.zakupki.prom.ua/remote/dispatcher/state_purchase_view/19429160" ref="B576" r:id="rId1142"/>
    <hyperlink display="https://my.zakupki.prom.ua/remote/dispatcher/state_contracting_view/5559651" ref="D576" r:id="rId1143"/>
    <hyperlink display="https://my.zakupki.prom.ua/remote/dispatcher/state_purchase_view/19129149" ref="B577" r:id="rId1144"/>
    <hyperlink display="https://my.zakupki.prom.ua/remote/dispatcher/state_contracting_view/5417001" ref="D577" r:id="rId1145"/>
    <hyperlink display="https://my.zakupki.prom.ua/remote/dispatcher/state_purchase_view/19018698" ref="B578" r:id="rId1146"/>
    <hyperlink display="https://my.zakupki.prom.ua/remote/dispatcher/state_contracting_view/5365055" ref="D578" r:id="rId1147"/>
    <hyperlink display="https://my.zakupki.prom.ua/remote/dispatcher/state_purchase_view/19361567" ref="B579" r:id="rId1148"/>
    <hyperlink display="https://my.zakupki.prom.ua/remote/dispatcher/state_contracting_view/5527583" ref="D579" r:id="rId1149"/>
    <hyperlink display="https://my.zakupki.prom.ua/remote/dispatcher/state_purchase_view/19932662" ref="B580" r:id="rId1150"/>
    <hyperlink display="https://my.zakupki.prom.ua/remote/dispatcher/state_contracting_view/5796112" ref="D580" r:id="rId1151"/>
    <hyperlink display="https://my.zakupki.prom.ua/remote/dispatcher/state_purchase_view/20037467" ref="B581" r:id="rId1152"/>
    <hyperlink display="https://my.zakupki.prom.ua/remote/dispatcher/state_contracting_view/5845188" ref="D581" r:id="rId1153"/>
    <hyperlink display="https://my.zakupki.prom.ua/remote/dispatcher/state_purchase_view/20112365" ref="B582" r:id="rId1154"/>
    <hyperlink display="https://my.zakupki.prom.ua/remote/dispatcher/state_contracting_view/5880856" ref="D582" r:id="rId1155"/>
    <hyperlink display="https://my.zakupki.prom.ua/remote/dispatcher/state_purchase_view/20207888" ref="B583" r:id="rId1156"/>
    <hyperlink display="https://my.zakupki.prom.ua/remote/dispatcher/state_contracting_view/5926519" ref="D583" r:id="rId1157"/>
    <hyperlink display="https://my.zakupki.prom.ua/remote/dispatcher/state_purchase_view/18789839" ref="B584" r:id="rId1158"/>
    <hyperlink display="https://my.zakupki.prom.ua/remote/dispatcher/state_contracting_view/5256865" ref="D584" r:id="rId1159"/>
    <hyperlink display="https://my.zakupki.prom.ua/remote/dispatcher/state_purchase_view/18474668" ref="B585" r:id="rId1160"/>
    <hyperlink display="https://my.zakupki.prom.ua/remote/dispatcher/state_contracting_view/5106776" ref="D585" r:id="rId1161"/>
    <hyperlink display="https://my.zakupki.prom.ua/remote/dispatcher/state_purchase_view/18283083" ref="B586" r:id="rId1162"/>
    <hyperlink display="https://my.zakupki.prom.ua/remote/dispatcher/state_contracting_view/5076683" ref="D586" r:id="rId1163"/>
    <hyperlink display="https://my.zakupki.prom.ua/remote/dispatcher/state_purchase_view/18576699" ref="B587" r:id="rId1164"/>
    <hyperlink display="https://my.zakupki.prom.ua/remote/dispatcher/state_contracting_view/5155251" ref="D587" r:id="rId1165"/>
    <hyperlink display="https://my.zakupki.prom.ua/remote/dispatcher/state_purchase_view/18202909" ref="B588" r:id="rId1166"/>
    <hyperlink display="https://my.zakupki.prom.ua/remote/dispatcher/state_contracting_view/4981351" ref="D588" r:id="rId1167"/>
    <hyperlink display="https://my.zakupki.prom.ua/remote/dispatcher/state_purchase_view/18258839" ref="B589" r:id="rId1168"/>
    <hyperlink display="https://my.zakupki.prom.ua/remote/dispatcher/state_contracting_view/5005970" ref="D589" r:id="rId1169"/>
    <hyperlink display="https://my.zakupki.prom.ua/remote/dispatcher/state_purchase_view/17420895" ref="B590" r:id="rId1170"/>
    <hyperlink display="https://my.zakupki.prom.ua/remote/dispatcher/state_contracting_view/4615932" ref="D590" r:id="rId1171"/>
    <hyperlink display="https://my.zakupki.prom.ua/remote/dispatcher/state_purchase_view/17711477" ref="B591" r:id="rId1172"/>
    <hyperlink display="https://my.zakupki.prom.ua/remote/dispatcher/state_contracting_view/4751198" ref="D591" r:id="rId1173"/>
    <hyperlink display="https://my.zakupki.prom.ua/remote/dispatcher/state_purchase_view/17593933" ref="B592" r:id="rId1174"/>
    <hyperlink display="https://my.zakupki.prom.ua/remote/dispatcher/state_contracting_view/4697046" ref="D592" r:id="rId1175"/>
    <hyperlink display="https://my.zakupki.prom.ua/remote/dispatcher/state_purchase_view/17849583" ref="B593" r:id="rId1176"/>
    <hyperlink display="https://my.zakupki.prom.ua/remote/dispatcher/state_contracting_view/4815554" ref="D593" r:id="rId1177"/>
    <hyperlink display="https://my.zakupki.prom.ua/remote/dispatcher/state_purchase_view/17764210" ref="B594" r:id="rId1178"/>
    <hyperlink display="https://my.zakupki.prom.ua/remote/dispatcher/state_contracting_view/4775929" ref="D594" r:id="rId1179"/>
    <hyperlink display="https://my.zakupki.prom.ua/remote/dispatcher/state_purchase_view/17775683" ref="B595" r:id="rId1180"/>
    <hyperlink display="https://my.zakupki.prom.ua/remote/dispatcher/state_contracting_view/4781294" ref="D595" r:id="rId1181"/>
    <hyperlink display="https://my.zakupki.prom.ua/remote/dispatcher/state_purchase_view/21097008" ref="B596" r:id="rId1182"/>
    <hyperlink display="https://my.zakupki.prom.ua/remote/dispatcher/state_contracting_view/6353032" ref="D596" r:id="rId1183"/>
    <hyperlink display="https://my.zakupki.prom.ua/remote/dispatcher/state_purchase_view/21116491" ref="B597" r:id="rId1184"/>
    <hyperlink display="https://my.zakupki.prom.ua/remote/dispatcher/state_contracting_view/6362210" ref="D597" r:id="rId1185"/>
    <hyperlink display="https://my.zakupki.prom.ua/remote/dispatcher/state_purchase_view/21699181" ref="B598" r:id="rId1186"/>
    <hyperlink display="https://my.zakupki.prom.ua/remote/dispatcher/state_contracting_view/6633415" ref="D598" r:id="rId1187"/>
    <hyperlink display="https://my.zakupki.prom.ua/remote/dispatcher/state_purchase_view/19899201" ref="B599" r:id="rId1188"/>
    <hyperlink display="https://my.zakupki.prom.ua/remote/dispatcher/state_contracting_view/5780452" ref="D599" r:id="rId1189"/>
    <hyperlink display="https://my.zakupki.prom.ua/remote/dispatcher/state_purchase_view/20016901" ref="B600" r:id="rId1190"/>
    <hyperlink display="https://my.zakupki.prom.ua/remote/dispatcher/state_contracting_view/5835374" ref="D600" r:id="rId1191"/>
    <hyperlink display="https://my.zakupki.prom.ua/remote/dispatcher/state_purchase_view/15195593" ref="B601" r:id="rId1192"/>
    <hyperlink display="https://my.zakupki.prom.ua/remote/dispatcher/state_contracting_view/3776038" ref="D601" r:id="rId1193"/>
    <hyperlink display="https://my.zakupki.prom.ua/remote/dispatcher/state_purchase_view/14886432" ref="B602" r:id="rId1194"/>
    <hyperlink display="https://my.zakupki.prom.ua/remote/dispatcher/state_contracting_view/3702385" ref="D602" r:id="rId1195"/>
    <hyperlink display="https://my.zakupki.prom.ua/remote/dispatcher/state_purchase_view/14856892" ref="B603" r:id="rId1196"/>
    <hyperlink display="https://my.zakupki.prom.ua/remote/dispatcher/state_contracting_view/3693830" ref="D603" r:id="rId1197"/>
    <hyperlink display="https://my.zakupki.prom.ua/remote/dispatcher/state_purchase_view/15103699" ref="B604" r:id="rId1198"/>
    <hyperlink display="https://my.zakupki.prom.ua/remote/dispatcher/state_contracting_view/3754077" ref="D604" r:id="rId1199"/>
    <hyperlink display="https://my.zakupki.prom.ua/remote/dispatcher/state_purchase_view/15707497" ref="B605" r:id="rId1200"/>
    <hyperlink display="https://my.zakupki.prom.ua/remote/dispatcher/state_contracting_view/3921137" ref="D605" r:id="rId1201"/>
    <hyperlink display="https://my.zakupki.prom.ua/remote/dispatcher/state_purchase_view/15679612" ref="B606" r:id="rId1202"/>
    <hyperlink display="https://my.zakupki.prom.ua/remote/dispatcher/state_contracting_view/3912851" ref="D606" r:id="rId1203"/>
    <hyperlink display="https://my.zakupki.prom.ua/remote/dispatcher/state_purchase_view/15695209" ref="B607" r:id="rId1204"/>
    <hyperlink display="https://my.zakupki.prom.ua/remote/dispatcher/state_contracting_view/3917650" ref="D607" r:id="rId1205"/>
    <hyperlink display="https://my.zakupki.prom.ua/remote/dispatcher/state_purchase_view/15729712" ref="B608" r:id="rId1206"/>
    <hyperlink display="https://my.zakupki.prom.ua/remote/dispatcher/state_contracting_view/3924093" ref="D608" r:id="rId1207"/>
    <hyperlink display="https://my.zakupki.prom.ua/remote/dispatcher/state_purchase_view/16275392" ref="B609" r:id="rId1208"/>
    <hyperlink display="https://my.zakupki.prom.ua/remote/dispatcher/state_contracting_view/4111055" ref="D609" r:id="rId1209"/>
    <hyperlink display="https://my.zakupki.prom.ua/remote/dispatcher/state_purchase_view/15893756" ref="B610" r:id="rId1210"/>
    <hyperlink display="https://my.zakupki.prom.ua/remote/dispatcher/state_contracting_view/3979146" ref="D610" r:id="rId1211"/>
    <hyperlink display="https://my.zakupki.prom.ua/remote/dispatcher/state_purchase_view/19508328" ref="B611" r:id="rId1212"/>
    <hyperlink display="https://my.zakupki.prom.ua/remote/dispatcher/state_contracting_view/5596531" ref="D611" r:id="rId1213"/>
    <hyperlink display="https://my.zakupki.prom.ua/remote/dispatcher/state_purchase_view/19870824" ref="B612" r:id="rId1214"/>
    <hyperlink display="https://my.zakupki.prom.ua/remote/dispatcher/state_contracting_view/5767891" ref="D612" r:id="rId1215"/>
    <hyperlink display="https://my.zakupki.prom.ua/remote/dispatcher/state_purchase_view/19917200" ref="B613" r:id="rId1216"/>
    <hyperlink display="https://my.zakupki.prom.ua/remote/dispatcher/state_contracting_view/5788566" ref="D613" r:id="rId1217"/>
    <hyperlink display="https://my.zakupki.prom.ua/remote/dispatcher/state_purchase_view/20024285" ref="B614" r:id="rId1218"/>
    <hyperlink display="https://my.zakupki.prom.ua/remote/dispatcher/state_contracting_view/5838723" ref="D614" r:id="rId1219"/>
    <hyperlink display="https://my.zakupki.prom.ua/remote/dispatcher/state_purchase_view/19202468" ref="B615" r:id="rId1220"/>
    <hyperlink display="https://my.zakupki.prom.ua/remote/dispatcher/state_contracting_view/5451677" ref="D615" r:id="rId1221"/>
    <hyperlink display="https://my.zakupki.prom.ua/remote/dispatcher/state_purchase_view/19213051" ref="B616" r:id="rId1222"/>
    <hyperlink display="https://my.zakupki.prom.ua/remote/dispatcher/state_contracting_view/5456530" ref="D616" r:id="rId1223"/>
    <hyperlink display="https://my.zakupki.prom.ua/remote/dispatcher/state_purchase_view/19346782" ref="B617" r:id="rId1224"/>
    <hyperlink display="https://my.zakupki.prom.ua/remote/dispatcher/state_contracting_view/5520670" ref="D617" r:id="rId1225"/>
    <hyperlink display="https://my.zakupki.prom.ua/remote/dispatcher/state_purchase_view/19101702" ref="B618" r:id="rId1226"/>
    <hyperlink display="https://my.zakupki.prom.ua/remote/dispatcher/state_contracting_view/5404161" ref="D618" r:id="rId1227"/>
    <hyperlink display="https://my.zakupki.prom.ua/remote/dispatcher/state_purchase_view/18997336" ref="B619" r:id="rId1228"/>
    <hyperlink display="https://my.zakupki.prom.ua/remote/dispatcher/state_contracting_view/5354911" ref="D619" r:id="rId1229"/>
    <hyperlink display="https://my.zakupki.prom.ua/remote/dispatcher/state_purchase_view/19324336" ref="B620" r:id="rId1230"/>
    <hyperlink display="https://my.zakupki.prom.ua/remote/dispatcher/state_contracting_view/5509800" ref="D620" r:id="rId1231"/>
    <hyperlink display="https://my.zakupki.prom.ua/remote/dispatcher/state_purchase_view/16299463" ref="B621" r:id="rId1232"/>
    <hyperlink display="https://my.zakupki.prom.ua/remote/dispatcher/state_contracting_view/4178257" ref="D621" r:id="rId1233"/>
    <hyperlink display="https://my.zakupki.prom.ua/remote/dispatcher/state_purchase_view/17222889" ref="B622" r:id="rId1234"/>
    <hyperlink display="https://my.zakupki.prom.ua/remote/dispatcher/state_contracting_view/4525175" ref="D622" r:id="rId1235"/>
    <hyperlink display="https://my.zakupki.prom.ua/remote/dispatcher/state_purchase_view/16747116" ref="B623" r:id="rId1236"/>
    <hyperlink display="https://my.zakupki.prom.ua/remote/dispatcher/state_contracting_view/4483584" ref="D623" r:id="rId1237"/>
    <hyperlink display="https://my.zakupki.prom.ua/remote/dispatcher/state_purchase_view/17011459" ref="B624" r:id="rId1238"/>
    <hyperlink display="https://my.zakupki.prom.ua/remote/dispatcher/state_contracting_view/4427545" ref="D624" r:id="rId1239"/>
    <hyperlink display="https://my.zakupki.prom.ua/remote/dispatcher/state_purchase_view/17488577" ref="B625" r:id="rId1240"/>
    <hyperlink display="https://my.zakupki.prom.ua/remote/dispatcher/state_contracting_view/4647703" ref="D625" r:id="rId1241"/>
    <hyperlink display="https://my.zakupki.prom.ua/remote/dispatcher/state_purchase_view/17334103" ref="B626" r:id="rId1242"/>
    <hyperlink display="https://my.zakupki.prom.ua/remote/dispatcher/state_contracting_view/4576244" ref="D626" r:id="rId1243"/>
    <hyperlink display="https://my.zakupki.prom.ua/remote/dispatcher/state_purchase_view/17314311" ref="B627" r:id="rId1244"/>
    <hyperlink display="https://my.zakupki.prom.ua/remote/dispatcher/state_contracting_view/4566959" ref="D627" r:id="rId1245"/>
    <hyperlink display="https://my.zakupki.prom.ua/remote/dispatcher/state_purchase_view/18648582" ref="B628" r:id="rId1246"/>
    <hyperlink display="https://my.zakupki.prom.ua/remote/dispatcher/state_contracting_view/5188561" ref="D628" r:id="rId1247"/>
    <hyperlink display="https://my.zakupki.prom.ua/remote/dispatcher/state_purchase_view/17702039" ref="B629" r:id="rId1248"/>
    <hyperlink display="https://my.zakupki.prom.ua/remote/dispatcher/state_contracting_view/4746740" ref="D629" r:id="rId1249"/>
    <hyperlink display="https://my.zakupki.prom.ua/remote/dispatcher/state_purchase_view/17850990" ref="B630" r:id="rId1250"/>
    <hyperlink display="https://my.zakupki.prom.ua/remote/dispatcher/state_contracting_view/4816226" ref="D630" r:id="rId1251"/>
    <hyperlink display="https://my.zakupki.prom.ua/remote/dispatcher/state_purchase_view/18069749" ref="B631" r:id="rId1252"/>
    <hyperlink display="https://my.zakupki.prom.ua/remote/dispatcher/state_contracting_view/4918238" ref="D631" r:id="rId1253"/>
    <hyperlink display="https://my.zakupki.prom.ua/remote/dispatcher/state_purchase_view/18045326" ref="B632" r:id="rId1254"/>
    <hyperlink display="https://my.zakupki.prom.ua/remote/dispatcher/state_contracting_view/4906685" ref="D632" r:id="rId1255"/>
    <hyperlink display="https://my.zakupki.prom.ua/remote/dispatcher/state_purchase_view/18195389" ref="B633" r:id="rId1256"/>
    <hyperlink display="https://my.zakupki.prom.ua/remote/dispatcher/state_contracting_view/4977579" ref="D633" r:id="rId1257"/>
    <hyperlink display="https://my.zakupki.prom.ua/remote/dispatcher/state_purchase_view/17616358" ref="B634" r:id="rId1258"/>
    <hyperlink display="https://my.zakupki.prom.ua/remote/dispatcher/state_contracting_view/4707316" ref="D634" r:id="rId1259"/>
    <hyperlink display="https://my.zakupki.prom.ua/remote/dispatcher/state_purchase_view/17631772" ref="B635" r:id="rId1260"/>
    <hyperlink display="https://my.zakupki.prom.ua/remote/dispatcher/state_contracting_view/4714541" ref="D635" r:id="rId1261"/>
    <hyperlink display="https://my.zakupki.prom.ua/remote/dispatcher/state_purchase_view/17670241" ref="B636" r:id="rId1262"/>
    <hyperlink display="https://my.zakupki.prom.ua/remote/dispatcher/state_contracting_view/4732252" ref="D636" r:id="rId1263"/>
    <hyperlink display="https://my.zakupki.prom.ua/remote/dispatcher/state_purchase_view/18797538" ref="B637" r:id="rId1264"/>
    <hyperlink display="https://my.zakupki.prom.ua/remote/dispatcher/state_contracting_view/5260583" ref="D637" r:id="rId1265"/>
    <hyperlink display="https://my.zakupki.prom.ua/remote/dispatcher/state_purchase_view/18986518" ref="B638" r:id="rId1266"/>
    <hyperlink display="https://my.zakupki.prom.ua/remote/dispatcher/state_contracting_view/5349596" ref="D638" r:id="rId1267"/>
    <hyperlink display="https://my.zakupki.prom.ua/remote/dispatcher/state_purchase_view/18994814" ref="B639" r:id="rId1268"/>
    <hyperlink display="https://my.zakupki.prom.ua/remote/dispatcher/state_contracting_view/5353802" ref="D639" r:id="rId1269"/>
    <hyperlink display="https://my.zakupki.prom.ua/remote/dispatcher/state_purchase_view/18588656" ref="B640" r:id="rId1270"/>
    <hyperlink display="https://my.zakupki.prom.ua/remote/dispatcher/state_contracting_view/5235463" ref="D640" r:id="rId1271"/>
    <hyperlink display="https://my.zakupki.prom.ua/remote/dispatcher/state_purchase_view/18930090" ref="B641" r:id="rId1272"/>
    <hyperlink display="https://my.zakupki.prom.ua/remote/dispatcher/state_contracting_view/5323304" ref="D641" r:id="rId1273"/>
    <hyperlink display="https://my.zakupki.prom.ua/remote/dispatcher/state_purchase_view/17857058" ref="B642" r:id="rId1274"/>
    <hyperlink display="https://my.zakupki.prom.ua/remote/dispatcher/state_contracting_view/4819137" ref="D642" r:id="rId1275"/>
    <hyperlink display="https://my.zakupki.prom.ua/remote/dispatcher/state_purchase_view/17961091" ref="B643" r:id="rId1276"/>
    <hyperlink display="https://my.zakupki.prom.ua/remote/dispatcher/state_contracting_view/4867097" ref="D643" r:id="rId1277"/>
    <hyperlink display="https://my.zakupki.prom.ua/remote/dispatcher/state_purchase_view/16752414" ref="B644" r:id="rId1278"/>
    <hyperlink display="https://my.zakupki.prom.ua/remote/dispatcher/state_contracting_view/4310633" ref="D644" r:id="rId1279"/>
    <hyperlink display="https://my.zakupki.prom.ua/remote/dispatcher/state_purchase_view/16750448" ref="B645" r:id="rId1280"/>
    <hyperlink display="https://my.zakupki.prom.ua/remote/dispatcher/state_contracting_view/4309943" ref="D645" r:id="rId1281"/>
    <hyperlink display="https://my.zakupki.prom.ua/remote/dispatcher/state_purchase_view/17136653" ref="B646" r:id="rId1282"/>
    <hyperlink display="https://my.zakupki.prom.ua/remote/dispatcher/state_contracting_view/4487260" ref="D646" r:id="rId1283"/>
    <hyperlink display="https://my.zakupki.prom.ua/remote/dispatcher/state_purchase_view/20278223" ref="B647" r:id="rId1284"/>
    <hyperlink display="https://my.zakupki.prom.ua/remote/dispatcher/state_contracting_view/5959915" ref="D647" r:id="rId1285"/>
    <hyperlink display="https://my.zakupki.prom.ua/remote/dispatcher/state_purchase_view/20280645" ref="B648" r:id="rId1286"/>
    <hyperlink display="https://my.zakupki.prom.ua/remote/dispatcher/state_contracting_view/5961555" ref="D648" r:id="rId1287"/>
    <hyperlink display="https://my.zakupki.prom.ua/remote/dispatcher/state_purchase_view/20207317" ref="B649" r:id="rId1288"/>
    <hyperlink display="https://my.zakupki.prom.ua/remote/dispatcher/state_contracting_view/5926245" ref="D649" r:id="rId1289"/>
    <hyperlink display="https://my.zakupki.prom.ua/remote/dispatcher/state_purchase_view/19523426" ref="B650" r:id="rId1290"/>
    <hyperlink display="https://my.zakupki.prom.ua/remote/dispatcher/state_contracting_view/6051837" ref="D650" r:id="rId1291"/>
    <hyperlink display="https://my.zakupki.prom.ua/remote/dispatcher/state_purchase_view/21174017" ref="B651" r:id="rId1292"/>
    <hyperlink display="https://my.zakupki.prom.ua/remote/dispatcher/state_contracting_view/6388739" ref="D651" r:id="rId1293"/>
    <hyperlink display="https://my.zakupki.prom.ua/remote/dispatcher/state_purchase_view/21171057" ref="B652" r:id="rId1294"/>
    <hyperlink display="https://my.zakupki.prom.ua/remote/dispatcher/state_contracting_view/6387199" ref="D652" r:id="rId1295"/>
    <hyperlink display="https://my.zakupki.prom.ua/remote/dispatcher/state_purchase_view/21126788" ref="B653" r:id="rId1296"/>
    <hyperlink display="https://my.zakupki.prom.ua/remote/dispatcher/state_contracting_view/6366938" ref="D653" r:id="rId1297"/>
    <hyperlink display="https://my.zakupki.prom.ua/remote/dispatcher/state_purchase_view/21284016" ref="B654" r:id="rId1298"/>
    <hyperlink display="https://my.zakupki.prom.ua/remote/dispatcher/state_contracting_view/6439591" ref="D654" r:id="rId1299"/>
    <hyperlink display="https://my.zakupki.prom.ua/remote/dispatcher/state_purchase_view/21585353" ref="B655" r:id="rId1300"/>
    <hyperlink display="https://my.zakupki.prom.ua/remote/dispatcher/state_contracting_view/6580679" ref="D655" r:id="rId1301"/>
    <hyperlink display="https://my.zakupki.prom.ua/remote/dispatcher/state_purchase_view/21558925" ref="B656" r:id="rId1302"/>
    <hyperlink display="https://my.zakupki.prom.ua/remote/dispatcher/state_contracting_view/6570951" ref="D656" r:id="rId1303"/>
    <hyperlink display="https://my.zakupki.prom.ua/remote/dispatcher/state_purchase_view/20601105" ref="B657" r:id="rId1304"/>
    <hyperlink display="https://my.zakupki.prom.ua/remote/dispatcher/state_contracting_view/6119176" ref="D657" r:id="rId1305"/>
    <hyperlink display="https://my.zakupki.prom.ua/remote/dispatcher/state_purchase_view/22645307" ref="B658" r:id="rId1306"/>
    <hyperlink display="https://my.zakupki.prom.ua/remote/dispatcher/state_contracting_view/7088429" ref="D658" r:id="rId1307"/>
    <hyperlink display="https://my.zakupki.prom.ua/remote/dispatcher/state_purchase_view/21697761" ref="B659" r:id="rId1308"/>
    <hyperlink display="https://my.zakupki.prom.ua/remote/dispatcher/state_contracting_view/6633353" ref="D659" r:id="rId1309"/>
    <hyperlink display="https://my.zakupki.prom.ua/remote/dispatcher/state_purchase_view/21982536" ref="B660" r:id="rId1310"/>
    <hyperlink display="https://my.zakupki.prom.ua/remote/dispatcher/state_contracting_view/6766635" ref="D660" r:id="rId1311"/>
    <hyperlink display="https://my.zakupki.prom.ua/remote/dispatcher/state_purchase_view/21852807" ref="B661" r:id="rId1312"/>
    <hyperlink display="https://my.zakupki.prom.ua/remote/dispatcher/state_contracting_view/6704612" ref="D661" r:id="rId1313"/>
    <hyperlink display="https://my.zakupki.prom.ua/remote/dispatcher/state_purchase_view/22063757" ref="B662" r:id="rId1314"/>
    <hyperlink display="https://my.zakupki.prom.ua/remote/dispatcher/state_contracting_view/6805665" ref="D662" r:id="rId1315"/>
    <hyperlink display="https://my.zakupki.prom.ua/remote/dispatcher/state_purchase_view/21141989" ref="B663" r:id="rId1316"/>
    <hyperlink display="https://my.zakupki.prom.ua/remote/dispatcher/state_contracting_view/6373756" ref="D663" r:id="rId1317"/>
    <hyperlink display="https://my.zakupki.prom.ua/remote/dispatcher/state_purchase_view/14473863" ref="B664" r:id="rId1318"/>
    <hyperlink display="https://my.zakupki.prom.ua/remote/dispatcher/state_contracting_view/3628245" ref="D664" r:id="rId1319"/>
    <hyperlink display="https://my.zakupki.prom.ua/remote/dispatcher/state_purchase_view/15674370" ref="B665" r:id="rId1320"/>
    <hyperlink display="https://my.zakupki.prom.ua/remote/dispatcher/state_contracting_view/3911124" ref="D665" r:id="rId1321"/>
    <hyperlink display="https://my.zakupki.prom.ua/remote/dispatcher/state_purchase_view/15720693" ref="B666" r:id="rId1322"/>
    <hyperlink display="https://my.zakupki.prom.ua/remote/dispatcher/state_contracting_view/3929568" ref="D666" r:id="rId1323"/>
    <hyperlink display="https://my.zakupki.prom.ua/remote/dispatcher/state_purchase_view/15695585" ref="B667" r:id="rId1324"/>
    <hyperlink display="https://my.zakupki.prom.ua/remote/dispatcher/state_contracting_view/3917752" ref="D667" r:id="rId1325"/>
    <hyperlink display="https://my.zakupki.prom.ua/remote/dispatcher/state_purchase_view/15893180" ref="B668" r:id="rId1326"/>
    <hyperlink display="https://my.zakupki.prom.ua/remote/dispatcher/state_contracting_view/3978867" ref="D668" r:id="rId1327"/>
    <hyperlink display="https://my.zakupki.prom.ua/remote/dispatcher/state_purchase_view/15226412" ref="B669" r:id="rId1328"/>
    <hyperlink display="https://my.zakupki.prom.ua/remote/dispatcher/state_contracting_view/3784108" ref="D669" r:id="rId1329"/>
    <hyperlink display="https://my.zakupki.prom.ua/remote/dispatcher/state_purchase_view/21590763" ref="B670" r:id="rId1330"/>
    <hyperlink display="https://my.zakupki.prom.ua/remote/dispatcher/state_contracting_view/6583296" ref="D670" r:id="rId1331"/>
    <hyperlink display="https://my.zakupki.prom.ua/remote/dispatcher/state_purchase_view/22466031" ref="B671" r:id="rId1332"/>
    <hyperlink display="https://my.zakupki.prom.ua/remote/dispatcher/state_contracting_view/6999339" ref="D671" r:id="rId1333"/>
    <hyperlink display="https://my.zakupki.prom.ua/remote/dispatcher/state_purchase_view/21726046" ref="B672" r:id="rId1334"/>
    <hyperlink display="https://my.zakupki.prom.ua/remote/dispatcher/state_contracting_view/6646068" ref="D672" r:id="rId1335"/>
    <hyperlink display="https://my.zakupki.prom.ua/remote/dispatcher/state_purchase_view/21700633" ref="B673" r:id="rId1336"/>
    <hyperlink display="https://my.zakupki.prom.ua/remote/dispatcher/state_contracting_view/6634615" ref="D673" r:id="rId1337"/>
    <hyperlink display="https://my.zakupki.prom.ua/remote/dispatcher/state_purchase_view/22651679" ref="B674" r:id="rId1338"/>
    <hyperlink display="https://my.zakupki.prom.ua/remote/dispatcher/state_contracting_view/7091863" ref="D674" r:id="rId1339"/>
    <hyperlink display="https://my.zakupki.prom.ua/remote/dispatcher/state_purchase_view/21740762" ref="B675" r:id="rId1340"/>
    <hyperlink display="https://my.zakupki.prom.ua/remote/dispatcher/state_contracting_view/6653202" ref="D675" r:id="rId1341"/>
    <hyperlink display="https://my.zakupki.prom.ua/remote/dispatcher/state_purchase_view/21312234" ref="B676" r:id="rId1342"/>
    <hyperlink display="https://my.zakupki.prom.ua/remote/dispatcher/state_contracting_view/6452492" ref="D676" r:id="rId1343"/>
    <hyperlink display="https://my.zakupki.prom.ua/remote/dispatcher/state_purchase_view/22770983" ref="B677" r:id="rId1344"/>
    <hyperlink display="https://my.zakupki.prom.ua/remote/dispatcher/state_contracting_view/7148997" ref="D677" r:id="rId1345"/>
    <hyperlink display="https://my.zakupki.prom.ua/remote/dispatcher/state_purchase_view/22099481" ref="B678" r:id="rId1346"/>
    <hyperlink display="https://my.zakupki.prom.ua/remote/dispatcher/state_contracting_view/6822465" ref="D678" r:id="rId1347"/>
    <hyperlink display="https://my.zakupki.prom.ua/remote/dispatcher/state_purchase_view/22107382" ref="B679" r:id="rId1348"/>
    <hyperlink display="https://my.zakupki.prom.ua/remote/dispatcher/state_contracting_view/6826409" ref="D679" r:id="rId1349"/>
    <hyperlink display="https://my.zakupki.prom.ua/remote/dispatcher/state_purchase_view/20881811" ref="B680" r:id="rId1350"/>
    <hyperlink display="https://my.zakupki.prom.ua/remote/dispatcher/state_contracting_view/6252089" ref="D680" r:id="rId1351"/>
    <hyperlink display="https://my.zakupki.prom.ua/remote/dispatcher/state_purchase_view/20743400" ref="B681" r:id="rId1352"/>
    <hyperlink display="https://my.zakupki.prom.ua/remote/dispatcher/state_contracting_view/6185578" ref="D681" r:id="rId1353"/>
    <hyperlink display="https://my.zakupki.prom.ua/remote/dispatcher/state_purchase_view/21149898" ref="B682" r:id="rId1354"/>
    <hyperlink display="https://my.zakupki.prom.ua/remote/dispatcher/state_contracting_view/6377520" ref="D682" r:id="rId1355"/>
    <hyperlink display="https://my.zakupki.prom.ua/remote/dispatcher/state_purchase_view/20109607" ref="B683" r:id="rId1356"/>
    <hyperlink display="https://my.zakupki.prom.ua/remote/dispatcher/state_contracting_view/5879849" ref="D683" r:id="rId1357"/>
    <hyperlink display="https://my.zakupki.prom.ua/remote/dispatcher/state_purchase_view/20111351" ref="B684" r:id="rId1358"/>
    <hyperlink display="https://my.zakupki.prom.ua/remote/dispatcher/state_contracting_view/5880485" ref="D684" r:id="rId1359"/>
    <hyperlink display="https://my.zakupki.prom.ua/remote/dispatcher/state_purchase_view/20577362" ref="B685" r:id="rId1360"/>
    <hyperlink display="https://my.zakupki.prom.ua/remote/dispatcher/state_contracting_view/6109410" ref="D685" r:id="rId1361"/>
    <hyperlink display="https://my.zakupki.prom.ua/remote/dispatcher/state_purchase_view/16490138" ref="B686" r:id="rId1362"/>
    <hyperlink display="https://my.zakupki.prom.ua/remote/dispatcher/state_contracting_view/4198149" ref="D686" r:id="rId1363"/>
    <hyperlink display="https://my.zakupki.prom.ua/remote/dispatcher/state_purchase_view/14752737" ref="B687" r:id="rId1364"/>
    <hyperlink display="https://my.zakupki.prom.ua/remote/dispatcher/state_contracting_view/3672983" ref="D687" r:id="rId1365"/>
    <hyperlink display="https://my.zakupki.prom.ua/remote/dispatcher/state_purchase_view/16752265" ref="B688" r:id="rId1366"/>
    <hyperlink display="https://my.zakupki.prom.ua/remote/dispatcher/state_contracting_view/4310589" ref="D688" r:id="rId1367"/>
    <hyperlink display="https://my.zakupki.prom.ua/remote/dispatcher/state_purchase_view/16324280" ref="B689" r:id="rId1368"/>
    <hyperlink display="https://my.zakupki.prom.ua/remote/dispatcher/state_contracting_view/4128432" ref="D689" r:id="rId1369"/>
    <hyperlink display="https://my.zakupki.prom.ua/remote/dispatcher/state_purchase_view/18421759" ref="B690" r:id="rId1370"/>
    <hyperlink display="https://my.zakupki.prom.ua/remote/dispatcher/state_contracting_view/5081954" ref="D690" r:id="rId1371"/>
    <hyperlink display="https://my.zakupki.prom.ua/remote/dispatcher/state_purchase_view/19427394" ref="B691" r:id="rId1372"/>
    <hyperlink display="https://my.zakupki.prom.ua/remote/dispatcher/state_contracting_view/5558971" ref="D691" r:id="rId1373"/>
    <hyperlink display="https://my.zakupki.prom.ua/remote/dispatcher/state_purchase_view/19349373" ref="B692" r:id="rId1374"/>
    <hyperlink display="https://my.zakupki.prom.ua/remote/dispatcher/state_contracting_view/5521810" ref="D692" r:id="rId1375"/>
    <hyperlink display="https://my.zakupki.prom.ua/remote/dispatcher/state_purchase_view/19206147" ref="B693" r:id="rId1376"/>
    <hyperlink display="https://my.zakupki.prom.ua/remote/dispatcher/state_contracting_view/5453375" ref="D693" r:id="rId1377"/>
    <hyperlink display="https://my.zakupki.prom.ua/remote/dispatcher/state_purchase_view/19238761" ref="B694" r:id="rId1378"/>
    <hyperlink display="https://my.zakupki.prom.ua/remote/dispatcher/state_contracting_view/5468971" ref="D694" r:id="rId1379"/>
    <hyperlink display="https://my.zakupki.prom.ua/remote/dispatcher/state_purchase_view/19024549" ref="B695" r:id="rId1380"/>
    <hyperlink display="https://my.zakupki.prom.ua/remote/dispatcher/state_contracting_view/5367771" ref="D695" r:id="rId1381"/>
    <hyperlink display="https://my.zakupki.prom.ua/remote/dispatcher/state_purchase_view/19320963" ref="B696" r:id="rId1382"/>
    <hyperlink display="https://my.zakupki.prom.ua/remote/dispatcher/state_contracting_view/5508250" ref="D696" r:id="rId1383"/>
    <hyperlink display="https://my.zakupki.prom.ua/remote/dispatcher/state_purchase_view/17533294" ref="B697" r:id="rId1384"/>
    <hyperlink display="https://my.zakupki.prom.ua/remote/dispatcher/state_contracting_view/4669712" ref="D697" r:id="rId1385"/>
    <hyperlink display="https://my.zakupki.prom.ua/remote/dispatcher/state_purchase_view/18261331" ref="B698" r:id="rId1386"/>
    <hyperlink display="https://my.zakupki.prom.ua/remote/dispatcher/state_contracting_view/5076705" ref="D698" r:id="rId1387"/>
    <hyperlink display="https://my.zakupki.prom.ua/remote/dispatcher/state_purchase_view/18412029" ref="B699" r:id="rId1388"/>
    <hyperlink display="https://my.zakupki.prom.ua/remote/dispatcher/state_contracting_view/5077278" ref="D699" r:id="rId1389"/>
    <hyperlink display="https://my.zakupki.prom.ua/remote/dispatcher/state_purchase_view/19011570" ref="B700" r:id="rId1390"/>
    <hyperlink display="https://my.zakupki.prom.ua/remote/dispatcher/state_contracting_view/5786833" ref="D700" r:id="rId1391"/>
    <hyperlink display="https://my.zakupki.prom.ua/remote/dispatcher/state_purchase_view/19928998" ref="B701" r:id="rId1392"/>
    <hyperlink display="https://my.zakupki.prom.ua/remote/dispatcher/state_contracting_view/5794054" ref="D701" r:id="rId1393"/>
    <hyperlink display="https://my.zakupki.prom.ua/remote/dispatcher/state_purchase_view/19900949" ref="B702" r:id="rId1394"/>
    <hyperlink display="https://my.zakupki.prom.ua/remote/dispatcher/state_contracting_view/5780937" ref="D702" r:id="rId1395"/>
    <hyperlink display="https://my.zakupki.prom.ua/remote/dispatcher/state_purchase_view/16388150" ref="B703" r:id="rId1396"/>
    <hyperlink display="https://my.zakupki.prom.ua/remote/dispatcher/state_contracting_view/4152068" ref="D703" r:id="rId1397"/>
    <hyperlink display="https://my.zakupki.prom.ua/remote/dispatcher/state_purchase_view/16394276" ref="B704" r:id="rId1398"/>
    <hyperlink display="https://my.zakupki.prom.ua/remote/dispatcher/state_contracting_view/4154675" ref="D704" r:id="rId1399"/>
    <hyperlink display="https://my.zakupki.prom.ua/remote/dispatcher/state_purchase_view/18651102" ref="B705" r:id="rId1400"/>
    <hyperlink display="https://my.zakupki.prom.ua/remote/dispatcher/state_contracting_view/5189474" ref="D705" r:id="rId1401"/>
    <hyperlink display="https://my.zakupki.prom.ua/remote/dispatcher/state_purchase_view/18463211" ref="B706" r:id="rId1402"/>
    <hyperlink display="https://my.zakupki.prom.ua/remote/dispatcher/state_contracting_view/5158054" ref="D706" r:id="rId1403"/>
    <hyperlink display="https://my.zakupki.prom.ua/remote/dispatcher/state_purchase_view/18510554" ref="B707" r:id="rId1404"/>
    <hyperlink display="https://my.zakupki.prom.ua/remote/dispatcher/state_contracting_view/5123628" ref="D707" r:id="rId1405"/>
    <hyperlink display="https://my.zakupki.prom.ua/remote/dispatcher/state_purchase_view/18476537" ref="B708" r:id="rId1406"/>
    <hyperlink display="https://my.zakupki.prom.ua/remote/dispatcher/state_contracting_view/5107694" ref="D708" r:id="rId1407"/>
    <hyperlink display="https://my.zakupki.prom.ua/remote/dispatcher/state_purchase_view/18477140" ref="B709" r:id="rId1408"/>
    <hyperlink display="https://my.zakupki.prom.ua/remote/dispatcher/state_contracting_view/5108329" ref="D709" r:id="rId1409"/>
    <hyperlink display="https://my.zakupki.prom.ua/remote/dispatcher/state_purchase_view/18477928" ref="B710" r:id="rId1410"/>
    <hyperlink display="https://my.zakupki.prom.ua/remote/dispatcher/state_contracting_view/5108133" ref="D710" r:id="rId1411"/>
    <hyperlink display="https://my.zakupki.prom.ua/remote/dispatcher/state_purchase_view/18790934" ref="B711" r:id="rId1412"/>
    <hyperlink display="https://my.zakupki.prom.ua/remote/dispatcher/state_contracting_view/5257473" ref="D711" r:id="rId1413"/>
    <hyperlink display="https://my.zakupki.prom.ua/remote/dispatcher/state_purchase_view/18777777" ref="B712" r:id="rId1414"/>
    <hyperlink display="https://my.zakupki.prom.ua/remote/dispatcher/state_contracting_view/5252952" ref="D712" r:id="rId1415"/>
    <hyperlink display="https://my.zakupki.prom.ua/remote/dispatcher/state_purchase_view/17672543" ref="B713" r:id="rId1416"/>
    <hyperlink display="https://my.zakupki.prom.ua/remote/dispatcher/state_contracting_view/4733449" ref="D713" r:id="rId1417"/>
    <hyperlink display="https://my.zakupki.prom.ua/remote/dispatcher/state_purchase_view/17628973" ref="B714" r:id="rId1418"/>
    <hyperlink display="https://my.zakupki.prom.ua/remote/dispatcher/state_contracting_view/4713787" ref="D714" r:id="rId1419"/>
    <hyperlink display="https://my.zakupki.prom.ua/remote/dispatcher/state_purchase_view/17651365" ref="B715" r:id="rId1420"/>
    <hyperlink display="https://my.zakupki.prom.ua/remote/dispatcher/state_contracting_view/4723517" ref="D715" r:id="rId1421"/>
    <hyperlink display="https://my.zakupki.prom.ua/remote/dispatcher/state_purchase_view/17696617" ref="B716" r:id="rId1422"/>
    <hyperlink display="https://my.zakupki.prom.ua/remote/dispatcher/state_contracting_view/4744366" ref="D716" r:id="rId1423"/>
    <hyperlink display="https://my.zakupki.prom.ua/remote/dispatcher/state_purchase_view/17720831" ref="B717" r:id="rId1424"/>
    <hyperlink display="https://my.zakupki.prom.ua/remote/dispatcher/state_contracting_view/4755828" ref="D717" r:id="rId1425"/>
    <hyperlink display="https://my.zakupki.prom.ua/remote/dispatcher/state_purchase_view/17593956" ref="B718" r:id="rId1426"/>
    <hyperlink display="https://my.zakupki.prom.ua/remote/dispatcher/state_contracting_view/4697051" ref="D718" r:id="rId1427"/>
    <hyperlink display="https://my.zakupki.prom.ua/remote/dispatcher/state_purchase_view/17853397" ref="B719" r:id="rId1428"/>
    <hyperlink display="https://my.zakupki.prom.ua/remote/dispatcher/state_contracting_view/4817459" ref="D719" r:id="rId1429"/>
    <hyperlink display="https://my.zakupki.prom.ua/remote/dispatcher/state_purchase_view/19882812" ref="B720" r:id="rId1430"/>
    <hyperlink display="https://my.zakupki.prom.ua/remote/dispatcher/state_contracting_view/5855927" ref="D720" r:id="rId1431"/>
    <hyperlink display="https://my.zakupki.prom.ua/remote/dispatcher/state_purchase_view/20115639" ref="B721" r:id="rId1432"/>
    <hyperlink display="https://my.zakupki.prom.ua/remote/dispatcher/state_contracting_view/5882906" ref="D721" r:id="rId1433"/>
    <hyperlink display="https://my.zakupki.prom.ua/remote/dispatcher/state_purchase_view/20280102" ref="B722" r:id="rId1434"/>
    <hyperlink display="https://my.zakupki.prom.ua/remote/dispatcher/state_contracting_view/5961280" ref="D722" r:id="rId1435"/>
    <hyperlink display="https://my.zakupki.prom.ua/remote/dispatcher/state_purchase_view/20293644" ref="B723" r:id="rId1436"/>
    <hyperlink display="https://my.zakupki.prom.ua/remote/dispatcher/state_contracting_view/5968406" ref="D723" r:id="rId1437"/>
    <hyperlink display="https://my.zakupki.prom.ua/remote/dispatcher/state_purchase_view/21854358" ref="B724" r:id="rId1438"/>
    <hyperlink display="https://my.zakupki.prom.ua/remote/dispatcher/state_contracting_view/6705415" ref="D724" r:id="rId1439"/>
    <hyperlink display="https://my.zakupki.prom.ua/remote/dispatcher/state_purchase_view/21096044" ref="B725" r:id="rId1440"/>
    <hyperlink display="https://my.zakupki.prom.ua/remote/dispatcher/state_contracting_view/6352461" ref="D725" r:id="rId1441"/>
    <hyperlink display="https://my.zakupki.prom.ua/remote/dispatcher/state_purchase_view/15860420" ref="B726" r:id="rId1442"/>
    <hyperlink display="https://my.zakupki.prom.ua/remote/dispatcher/state_contracting_view/3972441" ref="D726" r:id="rId1443"/>
    <hyperlink display="https://my.zakupki.prom.ua/remote/dispatcher/state_purchase_view/15875086" ref="B727" r:id="rId1444"/>
    <hyperlink display="https://my.zakupki.prom.ua/remote/dispatcher/state_contracting_view/3973251" ref="D727" r:id="rId1445"/>
    <hyperlink display="https://my.zakupki.prom.ua/remote/dispatcher/state_purchase_view/16458798" ref="B728" r:id="rId1446"/>
    <hyperlink display="https://my.zakupki.prom.ua/remote/dispatcher/state_contracting_view/4182649" ref="D728" r:id="rId1447"/>
    <hyperlink display="https://my.zakupki.prom.ua/remote/dispatcher/state_purchase_view/16303120" ref="B729" r:id="rId1448"/>
    <hyperlink display="https://my.zakupki.prom.ua/remote/dispatcher/state_contracting_view/4124035" ref="D729" r:id="rId1449"/>
    <hyperlink display="https://my.zakupki.prom.ua/remote/dispatcher/state_purchase_view/16359059" ref="B730" r:id="rId1450"/>
    <hyperlink display="https://my.zakupki.prom.ua/remote/dispatcher/state_contracting_view/4141259" ref="D730" r:id="rId1451"/>
    <hyperlink display="https://my.zakupki.prom.ua/remote/dispatcher/state_purchase_view/16404814" ref="B731" r:id="rId1452"/>
    <hyperlink display="https://my.zakupki.prom.ua/remote/dispatcher/state_contracting_view/4159279" ref="D731" r:id="rId1453"/>
    <hyperlink display="https://my.zakupki.prom.ua/remote/dispatcher/state_purchase_view/16605135" ref="B732" r:id="rId1454"/>
    <hyperlink display="https://my.zakupki.prom.ua/remote/dispatcher/state_contracting_view/4247276" ref="D732" r:id="rId1455"/>
    <hyperlink display="https://my.zakupki.prom.ua/remote/dispatcher/state_purchase_view/15485703" ref="B733" r:id="rId1456"/>
    <hyperlink display="https://my.zakupki.prom.ua/remote/dispatcher/state_contracting_view/3856099" ref="D733" r:id="rId1457"/>
    <hyperlink display="https://my.zakupki.prom.ua/remote/dispatcher/state_purchase_view/15694106" ref="B734" r:id="rId1458"/>
    <hyperlink display="https://my.zakupki.prom.ua/remote/dispatcher/state_contracting_view/3917309" ref="D734" r:id="rId1459"/>
    <hyperlink display="https://my.zakupki.prom.ua/remote/dispatcher/state_purchase_view/15693585" ref="B735" r:id="rId1460"/>
    <hyperlink display="https://my.zakupki.prom.ua/remote/dispatcher/state_contracting_view/3917158" ref="D735" r:id="rId1461"/>
    <hyperlink display="https://my.zakupki.prom.ua/remote/dispatcher/state_purchase_view/14860978" ref="B736" r:id="rId1462"/>
    <hyperlink display="https://my.zakupki.prom.ua/remote/dispatcher/state_contracting_view/3694970" ref="D736" r:id="rId1463"/>
    <hyperlink display="https://my.zakupki.prom.ua/remote/dispatcher/state_purchase_view/17067254" ref="B737" r:id="rId1464"/>
    <hyperlink display="https://my.zakupki.prom.ua/remote/dispatcher/state_contracting_view/4453423" ref="D737" r:id="rId1465"/>
    <hyperlink display="https://my.zakupki.prom.ua/remote/dispatcher/state_purchase_view/17525315" ref="B738" r:id="rId1466"/>
    <hyperlink display="https://my.zakupki.prom.ua/remote/dispatcher/state_contracting_view/4665507" ref="D738" r:id="rId1467"/>
    <hyperlink display="https://my.zakupki.prom.ua/remote/dispatcher/state_purchase_view/17284996" ref="B739" r:id="rId1468"/>
    <hyperlink display="https://my.zakupki.prom.ua/remote/dispatcher/state_contracting_view/4553568" ref="D739" r:id="rId1469"/>
    <hyperlink display="https://my.zakupki.prom.ua/remote/dispatcher/state_purchase_view/16877967" ref="B740" r:id="rId1470"/>
    <hyperlink display="https://my.zakupki.prom.ua/remote/dispatcher/state_contracting_view/4368345" ref="D740" r:id="rId1471"/>
    <hyperlink display="https://my.zakupki.prom.ua/remote/dispatcher/state_purchase_view/16876282" ref="B741" r:id="rId1472"/>
    <hyperlink display="https://my.zakupki.prom.ua/remote/dispatcher/state_contracting_view/4368365" ref="D741" r:id="rId1473"/>
    <hyperlink display="https://my.zakupki.prom.ua/remote/dispatcher/state_purchase_view/16888431" ref="B742" r:id="rId1474"/>
    <hyperlink display="https://my.zakupki.prom.ua/remote/dispatcher/state_contracting_view/4373075" ref="D742" r:id="rId1475"/>
    <hyperlink display="https://my.zakupki.prom.ua/remote/dispatcher/state_purchase_view/17839583" ref="B743" r:id="rId1476"/>
    <hyperlink display="https://my.zakupki.prom.ua/remote/dispatcher/state_contracting_view/4810917" ref="D743" r:id="rId1477"/>
    <hyperlink display="https://my.zakupki.prom.ua/remote/dispatcher/state_purchase_view/18803126" ref="B744" r:id="rId1478"/>
    <hyperlink display="https://my.zakupki.prom.ua/remote/dispatcher/state_contracting_view/5263704" ref="D744" r:id="rId1479"/>
    <hyperlink display="https://my.zakupki.prom.ua/remote/dispatcher/state_purchase_view/18823057" ref="B745" r:id="rId1480"/>
    <hyperlink display="https://my.zakupki.prom.ua/remote/dispatcher/state_contracting_view/5272804" ref="D745" r:id="rId1481"/>
    <hyperlink display="https://my.zakupki.prom.ua/remote/dispatcher/state_purchase_view/18778808" ref="B746" r:id="rId1482"/>
    <hyperlink display="https://my.zakupki.prom.ua/remote/dispatcher/state_contracting_view/5252649" ref="D746" r:id="rId1483"/>
    <hyperlink display="https://my.zakupki.prom.ua/remote/dispatcher/state_purchase_view/18799590" ref="B747" r:id="rId1484"/>
    <hyperlink display="https://my.zakupki.prom.ua/remote/dispatcher/state_contracting_view/5261682" ref="D747" r:id="rId1485"/>
    <hyperlink display="https://my.zakupki.prom.ua/remote/dispatcher/state_purchase_view/19120471" ref="B748" r:id="rId1486"/>
    <hyperlink display="https://my.zakupki.prom.ua/remote/dispatcher/state_contracting_view/5413251" ref="D748" r:id="rId1487"/>
    <hyperlink display="https://my.zakupki.prom.ua/remote/dispatcher/state_purchase_view/17507168" ref="B749" r:id="rId1488"/>
    <hyperlink display="https://my.zakupki.prom.ua/remote/dispatcher/state_contracting_view/4656528" ref="D749" r:id="rId1489"/>
    <hyperlink display="https://my.zakupki.prom.ua/remote/dispatcher/state_purchase_view/17714040" ref="B750" r:id="rId1490"/>
    <hyperlink display="https://my.zakupki.prom.ua/remote/dispatcher/state_contracting_view/4752358" ref="D750" r:id="rId1491"/>
    <hyperlink display="https://my.zakupki.prom.ua/remote/dispatcher/state_purchase_view/17768201" ref="B751" r:id="rId1492"/>
    <hyperlink display="https://my.zakupki.prom.ua/remote/dispatcher/state_contracting_view/4777617" ref="D751" r:id="rId1493"/>
    <hyperlink display="https://my.zakupki.prom.ua/remote/dispatcher/state_purchase_view/17760294" ref="B752" r:id="rId1494"/>
    <hyperlink display="https://my.zakupki.prom.ua/remote/dispatcher/state_contracting_view/4774111" ref="D752" r:id="rId1495"/>
    <hyperlink display="https://my.zakupki.prom.ua/remote/dispatcher/state_purchase_view/18599721" ref="B753" r:id="rId1496"/>
    <hyperlink display="https://my.zakupki.prom.ua/remote/dispatcher/state_contracting_view/5165730" ref="D753" r:id="rId1497"/>
    <hyperlink display="https://my.zakupki.prom.ua/remote/dispatcher/state_purchase_view/18480299" ref="B754" r:id="rId1498"/>
    <hyperlink display="https://my.zakupki.prom.ua/remote/dispatcher/state_contracting_view/5109377" ref="D754" r:id="rId1499"/>
    <hyperlink display="https://my.zakupki.prom.ua/remote/dispatcher/state_purchase_view/18484786" ref="B755" r:id="rId1500"/>
    <hyperlink display="https://my.zakupki.prom.ua/remote/dispatcher/state_contracting_view/5111558" ref="D755" r:id="rId1501"/>
    <hyperlink display="https://my.zakupki.prom.ua/remote/dispatcher/state_purchase_view/18429517" ref="B756" r:id="rId1502"/>
    <hyperlink display="https://my.zakupki.prom.ua/remote/dispatcher/state_contracting_view/5085602" ref="D756" r:id="rId1503"/>
    <hyperlink display="https://my.zakupki.prom.ua/remote/dispatcher/state_purchase_view/18420598" ref="B757" r:id="rId1504"/>
    <hyperlink display="https://my.zakupki.prom.ua/remote/dispatcher/state_contracting_view/5081291" ref="D757" r:id="rId1505"/>
    <hyperlink display="https://my.zakupki.prom.ua/remote/dispatcher/state_purchase_view/18655243" ref="B758" r:id="rId1506"/>
    <hyperlink display="https://my.zakupki.prom.ua/remote/dispatcher/state_contracting_view/5191610" ref="D758" r:id="rId1507"/>
    <hyperlink display="https://my.zakupki.prom.ua/remote/dispatcher/state_purchase_view/18579412" ref="B759" r:id="rId1508"/>
    <hyperlink display="https://my.zakupki.prom.ua/remote/dispatcher/state_contracting_view/5155837" ref="D759" r:id="rId1509"/>
    <hyperlink display="https://my.zakupki.prom.ua/remote/dispatcher/state_purchase_view/19243676" ref="B760" r:id="rId1510"/>
    <hyperlink display="https://my.zakupki.prom.ua/remote/dispatcher/state_contracting_view/5471585" ref="D760" r:id="rId1511"/>
    <hyperlink display="https://my.zakupki.prom.ua/remote/dispatcher/state_purchase_view/19234855" ref="B761" r:id="rId1512"/>
    <hyperlink display="https://my.zakupki.prom.ua/remote/dispatcher/state_contracting_view/5467266" ref="D761" r:id="rId1513"/>
    <hyperlink display="https://my.zakupki.prom.ua/remote/dispatcher/state_purchase_view/19735730" ref="B762" r:id="rId1514"/>
    <hyperlink display="https://my.zakupki.prom.ua/remote/dispatcher/state_contracting_view/5704126" ref="D762" r:id="rId1515"/>
    <hyperlink display="https://my.zakupki.prom.ua/remote/dispatcher/state_purchase_view/19794360" ref="B763" r:id="rId1516"/>
    <hyperlink display="https://my.zakupki.prom.ua/remote/dispatcher/state_contracting_view/5731880" ref="D763" r:id="rId1517"/>
    <hyperlink display="https://my.zakupki.prom.ua/remote/dispatcher/state_purchase_view/19221127" ref="B764" r:id="rId1518"/>
    <hyperlink display="https://my.zakupki.prom.ua/remote/dispatcher/state_contracting_view/5460423" ref="D764" r:id="rId1519"/>
    <hyperlink display="https://my.zakupki.prom.ua/remote/dispatcher/state_purchase_view/19237788" ref="B765" r:id="rId1520"/>
    <hyperlink display="https://my.zakupki.prom.ua/remote/dispatcher/state_contracting_view/5468710" ref="D765" r:id="rId1521"/>
    <hyperlink display="https://my.zakupki.prom.ua/remote/dispatcher/state_purchase_view/19222846" ref="B766" r:id="rId1522"/>
    <hyperlink display="https://my.zakupki.prom.ua/remote/dispatcher/state_contracting_view/5461220" ref="D766" r:id="rId1523"/>
    <hyperlink display="https://my.zakupki.prom.ua/remote/dispatcher/state_purchase_view/19318854" ref="B767" r:id="rId1524"/>
    <hyperlink display="https://my.zakupki.prom.ua/remote/dispatcher/state_contracting_view/5507407" ref="D767" r:id="rId1525"/>
    <hyperlink display="https://my.zakupki.prom.ua/remote/dispatcher/state_purchase_view/19360013" ref="B768" r:id="rId1526"/>
    <hyperlink display="https://my.zakupki.prom.ua/remote/dispatcher/state_contracting_view/5527171" ref="D768" r:id="rId1527"/>
    <hyperlink display="https://my.zakupki.prom.ua/remote/dispatcher/state_purchase_view/17967241" ref="B769" r:id="rId1528"/>
    <hyperlink display="https://my.zakupki.prom.ua/remote/dispatcher/state_contracting_view/4869959" ref="D769" r:id="rId1529"/>
    <hyperlink display="https://my.zakupki.prom.ua/remote/dispatcher/state_purchase_view/18030245" ref="B770" r:id="rId1530"/>
    <hyperlink display="https://my.zakupki.prom.ua/remote/dispatcher/state_contracting_view/4899941" ref="D770" r:id="rId1531"/>
    <hyperlink display="https://my.zakupki.prom.ua/remote/dispatcher/state_purchase_view/18030782" ref="B771" r:id="rId1532"/>
    <hyperlink display="https://my.zakupki.prom.ua/remote/dispatcher/state_contracting_view/4900287" ref="D771" r:id="rId1533"/>
    <hyperlink display="https://my.zakupki.prom.ua/remote/dispatcher/state_purchase_view/18033947" ref="B772" r:id="rId1534"/>
    <hyperlink display="https://my.zakupki.prom.ua/remote/dispatcher/state_contracting_view/4901537" ref="D772" r:id="rId1535"/>
    <hyperlink display="https://my.zakupki.prom.ua/remote/dispatcher/state_purchase_view/18048057" ref="B773" r:id="rId1536"/>
    <hyperlink display="https://my.zakupki.prom.ua/remote/dispatcher/state_contracting_view/4908098" ref="D773" r:id="rId1537"/>
    <hyperlink display="https://my.zakupki.prom.ua/remote/dispatcher/state_purchase_view/18028853" ref="B774" r:id="rId1538"/>
    <hyperlink display="https://my.zakupki.prom.ua/remote/dispatcher/state_contracting_view/4899464" ref="D774" r:id="rId1539"/>
    <hyperlink display="https://my.zakupki.prom.ua/remote/dispatcher/state_purchase_view/18254975" ref="B775" r:id="rId1540"/>
    <hyperlink display="https://my.zakupki.prom.ua/remote/dispatcher/state_contracting_view/5004425" ref="D775" r:id="rId1541"/>
    <hyperlink display="https://my.zakupki.prom.ua/remote/dispatcher/state_purchase_view/18281361" ref="B776" r:id="rId1542"/>
    <hyperlink display="https://my.zakupki.prom.ua/remote/dispatcher/state_contracting_view/5016751" ref="D776" r:id="rId1543"/>
    <hyperlink display="https://my.zakupki.prom.ua/remote/dispatcher/state_purchase_view/20741815" ref="B777" r:id="rId1544"/>
    <hyperlink display="https://my.zakupki.prom.ua/remote/dispatcher/state_contracting_view/6184828" ref="D777" r:id="rId1545"/>
    <hyperlink display="https://my.zakupki.prom.ua/remote/dispatcher/state_purchase_view/20734048" ref="B778" r:id="rId1546"/>
    <hyperlink display="https://my.zakupki.prom.ua/remote/dispatcher/state_contracting_view/6181331" ref="D778" r:id="rId1547"/>
    <hyperlink display="https://my.zakupki.prom.ua/remote/dispatcher/state_purchase_view/20735369" ref="B779" r:id="rId1548"/>
    <hyperlink display="https://my.zakupki.prom.ua/remote/dispatcher/state_contracting_view/6181521" ref="D779" r:id="rId1549"/>
    <hyperlink display="https://my.zakupki.prom.ua/remote/dispatcher/state_purchase_view/18194602" ref="B780" r:id="rId1550"/>
    <hyperlink display="https://my.zakupki.prom.ua/remote/dispatcher/state_contracting_view/4977465" ref="D780" r:id="rId1551"/>
    <hyperlink display="https://my.zakupki.prom.ua/remote/dispatcher/state_purchase_view/18201142" ref="B781" r:id="rId1552"/>
    <hyperlink display="https://my.zakupki.prom.ua/remote/dispatcher/state_contracting_view/4980465" ref="D781" r:id="rId1553"/>
    <hyperlink display="https://my.zakupki.prom.ua/remote/dispatcher/state_purchase_view/20598050" ref="B782" r:id="rId1554"/>
    <hyperlink display="https://my.zakupki.prom.ua/remote/dispatcher/state_contracting_view/6117634" ref="D782" r:id="rId1555"/>
    <hyperlink display="https://my.zakupki.prom.ua/remote/dispatcher/state_purchase_view/21142581" ref="B783" r:id="rId1556"/>
    <hyperlink display="https://my.zakupki.prom.ua/remote/dispatcher/state_contracting_view/6374080" ref="D783" r:id="rId1557"/>
    <hyperlink display="https://my.zakupki.prom.ua/remote/dispatcher/state_purchase_view/21141286" ref="B784" r:id="rId1558"/>
    <hyperlink display="https://my.zakupki.prom.ua/remote/dispatcher/state_contracting_view/6373599" ref="D784" r:id="rId1559"/>
    <hyperlink display="https://my.zakupki.prom.ua/remote/dispatcher/state_purchase_view/20879707" ref="B785" r:id="rId1560"/>
    <hyperlink display="https://my.zakupki.prom.ua/remote/dispatcher/state_contracting_view/6250941" ref="D785" r:id="rId1561"/>
    <hyperlink display="https://my.zakupki.prom.ua/remote/dispatcher/state_purchase_view/20878888" ref="B786" r:id="rId1562"/>
    <hyperlink display="https://my.zakupki.prom.ua/remote/dispatcher/state_contracting_view/6250560" ref="D786" r:id="rId1563"/>
    <hyperlink display="https://my.zakupki.prom.ua/remote/dispatcher/state_purchase_view/20875533" ref="B787" r:id="rId1564"/>
    <hyperlink display="https://my.zakupki.prom.ua/remote/dispatcher/state_contracting_view/6248820" ref="D787" r:id="rId1565"/>
    <hyperlink display="https://my.zakupki.prom.ua/remote/dispatcher/state_purchase_view/20600368" ref="B788" r:id="rId1566"/>
    <hyperlink display="https://my.zakupki.prom.ua/remote/dispatcher/state_contracting_view/6118676" ref="D788" r:id="rId1567"/>
    <hyperlink display="https://my.zakupki.prom.ua/remote/dispatcher/state_purchase_view/20741044" ref="B789" r:id="rId1568"/>
    <hyperlink display="https://my.zakupki.prom.ua/remote/dispatcher/state_contracting_view/6184377" ref="D789" r:id="rId1569"/>
    <hyperlink display="https://my.zakupki.prom.ua/remote/dispatcher/state_purchase_view/21171344" ref="B790" r:id="rId1570"/>
    <hyperlink display="https://my.zakupki.prom.ua/remote/dispatcher/state_contracting_view/6387591" ref="D790" r:id="rId1571"/>
    <hyperlink display="https://my.zakupki.prom.ua/remote/dispatcher/state_purchase_view/21290054" ref="B791" r:id="rId1572"/>
    <hyperlink display="https://my.zakupki.prom.ua/remote/dispatcher/state_contracting_view/6442150" ref="D791" r:id="rId1573"/>
    <hyperlink display="https://my.zakupki.prom.ua/remote/dispatcher/state_purchase_view/20884367" ref="B792" r:id="rId1574"/>
    <hyperlink display="https://my.zakupki.prom.ua/remote/dispatcher/state_contracting_view/6252915" ref="D792" r:id="rId1575"/>
    <hyperlink display="https://my.zakupki.prom.ua/remote/dispatcher/state_purchase_view/20883527" ref="B793" r:id="rId1576"/>
    <hyperlink display="https://my.zakupki.prom.ua/remote/dispatcher/state_contracting_view/6252486" ref="D793" r:id="rId1577"/>
    <hyperlink display="https://my.zakupki.prom.ua/remote/dispatcher/state_purchase_view/20578097" ref="B794" r:id="rId1578"/>
    <hyperlink display="https://my.zakupki.prom.ua/remote/dispatcher/state_contracting_view/6109292" ref="D794" r:id="rId1579"/>
    <hyperlink display="https://my.zakupki.prom.ua/remote/dispatcher/state_purchase_view/21508830" ref="B795" r:id="rId1580"/>
    <hyperlink display="https://my.zakupki.prom.ua/remote/dispatcher/state_contracting_view/6545248" ref="D795" r:id="rId1581"/>
    <hyperlink display="https://my.zakupki.prom.ua/remote/dispatcher/state_purchase_view/21504776" ref="B796" r:id="rId1582"/>
    <hyperlink display="https://my.zakupki.prom.ua/remote/dispatcher/state_contracting_view/6542868" ref="D796" r:id="rId1583"/>
    <hyperlink display="https://my.zakupki.prom.ua/remote/dispatcher/state_purchase_view/20020824" ref="B797" r:id="rId1584"/>
    <hyperlink display="https://my.zakupki.prom.ua/remote/dispatcher/state_contracting_view/5837249" ref="D797" r:id="rId1585"/>
    <hyperlink display="https://my.zakupki.prom.ua/remote/dispatcher/state_purchase_view/22710350" ref="B798" r:id="rId1586"/>
    <hyperlink display="https://my.zakupki.prom.ua/remote/dispatcher/state_contracting_view/7119350" ref="D798" r:id="rId1587"/>
    <hyperlink display="https://my.zakupki.prom.ua/remote/dispatcher/state_purchase_view/22772822" ref="B799" r:id="rId1588"/>
    <hyperlink display="https://my.zakupki.prom.ua/remote/dispatcher/state_contracting_view/7150380" ref="D799" r:id="rId1589"/>
    <hyperlink display="https://my.zakupki.prom.ua/remote/dispatcher/state_purchase_view/20984562" ref="B800" r:id="rId1590"/>
    <hyperlink display="https://my.zakupki.prom.ua/remote/dispatcher/state_contracting_view/6300742" ref="D800" r:id="rId1591"/>
    <hyperlink display="https://my.zakupki.prom.ua/remote/dispatcher/state_purchase_view/20986305" ref="B801" r:id="rId1592"/>
    <hyperlink display="https://my.zakupki.prom.ua/remote/dispatcher/state_contracting_view/6301501" ref="D801" r:id="rId1593"/>
    <hyperlink display="https://my.zakupki.prom.ua/remote/dispatcher/state_purchase_view/20986977" ref="B802" r:id="rId1594"/>
    <hyperlink display="https://my.zakupki.prom.ua/remote/dispatcher/state_contracting_view/6301999" ref="D802" r:id="rId1595"/>
    <hyperlink display="https://my.zakupki.prom.ua/remote/dispatcher/state_purchase_view/21835751" ref="B803" r:id="rId1596"/>
    <hyperlink display="https://my.zakupki.prom.ua/remote/dispatcher/state_contracting_view/6696702" ref="D803" r:id="rId1597"/>
    <hyperlink display="https://my.zakupki.prom.ua/remote/dispatcher/state_purchase_view/21853330" ref="B804" r:id="rId1598"/>
    <hyperlink display="https://my.zakupki.prom.ua/remote/dispatcher/state_contracting_view/6704785" ref="D804" r:id="rId1599"/>
    <hyperlink display="https://my.zakupki.prom.ua/remote/dispatcher/state_purchase_view/15495489" ref="B805" r:id="rId1600"/>
    <hyperlink display="https://my.zakupki.prom.ua/remote/dispatcher/state_contracting_view/3929388" ref="D805" r:id="rId1601"/>
    <hyperlink display="https://my.zakupki.prom.ua/remote/dispatcher/state_purchase_view/21477240" ref="B806" r:id="rId1602"/>
    <hyperlink display="https://my.zakupki.prom.ua/remote/dispatcher/state_contracting_view/6530102" ref="D806" r:id="rId1603"/>
    <hyperlink display="https://my.zakupki.prom.ua/remote/dispatcher/state_purchase_view/21486922" ref="B807" r:id="rId1604"/>
    <hyperlink display="https://my.zakupki.prom.ua/remote/dispatcher/state_contracting_view/6534369" ref="D807" r:id="rId1605"/>
    <hyperlink display="https://my.zakupki.prom.ua/remote/dispatcher/state_purchase_view/22778157" ref="B808" r:id="rId1606"/>
    <hyperlink display="https://my.zakupki.prom.ua/remote/dispatcher/state_contracting_view/7152803" ref="D808" r:id="rId1607"/>
    <hyperlink display="https://my.zakupki.prom.ua/remote/dispatcher/state_purchase_view/21987522" ref="B809" r:id="rId1608"/>
    <hyperlink display="https://my.zakupki.prom.ua/remote/dispatcher/state_contracting_view/6768834" ref="D809" r:id="rId1609"/>
    <hyperlink display="https://my.zakupki.prom.ua/remote/dispatcher/state_purchase_view/21426323" ref="B810" r:id="rId1610"/>
    <hyperlink display="https://my.zakupki.prom.ua/remote/dispatcher/state_contracting_view/6506429" ref="D810" r:id="rId1611"/>
    <hyperlink display="https://my.zakupki.prom.ua/remote/dispatcher/state_purchase_view/21398742" ref="B811" r:id="rId1612"/>
    <hyperlink display="https://my.zakupki.prom.ua/remote/dispatcher/state_contracting_view/6493593" ref="D811" r:id="rId1613"/>
    <hyperlink display="https://my.zakupki.prom.ua/remote/dispatcher/state_purchase_view/15097830" ref="B812" r:id="rId1614"/>
    <hyperlink display="https://my.zakupki.prom.ua/remote/dispatcher/state_contracting_view/3752909" ref="D812" r:id="rId1615"/>
    <hyperlink display="https://my.zakupki.prom.ua/remote/dispatcher/state_purchase_view/15188475" ref="B813" r:id="rId1616"/>
    <hyperlink display="https://my.zakupki.prom.ua/remote/dispatcher/state_contracting_view/3774224" ref="D813" r:id="rId1617"/>
    <hyperlink display="https://my.zakupki.prom.ua/remote/dispatcher/state_purchase_view/15696074" ref="B814" r:id="rId1618"/>
    <hyperlink display="https://my.zakupki.prom.ua/remote/dispatcher/state_contracting_view/3917925" ref="D814" r:id="rId1619"/>
    <hyperlink display="https://my.zakupki.prom.ua/remote/dispatcher/state_purchase_view/15955410" ref="B815" r:id="rId1620"/>
    <hyperlink display="https://my.zakupki.prom.ua/remote/dispatcher/state_contracting_view/3999968" ref="D815" r:id="rId1621"/>
    <hyperlink display="https://my.zakupki.prom.ua/remote/dispatcher/state_purchase_view/16213621" ref="B816" r:id="rId1622"/>
    <hyperlink display="https://my.zakupki.prom.ua/remote/dispatcher/state_contracting_view/4089640" ref="D816" r:id="rId1623"/>
    <hyperlink display="https://my.zakupki.prom.ua/remote/dispatcher/state_purchase_view/16006815" ref="B817" r:id="rId1624"/>
    <hyperlink display="https://my.zakupki.prom.ua/remote/dispatcher/state_contracting_view/4017328" ref="D817" r:id="rId1625"/>
    <hyperlink display="https://my.zakupki.prom.ua/remote/dispatcher/state_purchase_view/15893475" ref="B818" r:id="rId1626"/>
    <hyperlink display="https://my.zakupki.prom.ua/remote/dispatcher/state_contracting_view/3978993" ref="D818" r:id="rId1627"/>
    <hyperlink display="https://my.zakupki.prom.ua/remote/dispatcher/state_purchase_view/16077709" ref="B819" r:id="rId1628"/>
    <hyperlink display="https://my.zakupki.prom.ua/remote/dispatcher/state_contracting_view/4041996" ref="D819" r:id="rId1629"/>
    <hyperlink display="https://my.zakupki.prom.ua/remote/dispatcher/state_purchase_view/16358597" ref="B820" r:id="rId1630"/>
    <hyperlink display="https://my.zakupki.prom.ua/remote/dispatcher/state_contracting_view/4141029" ref="D820" r:id="rId1631"/>
    <hyperlink display="https://my.zakupki.prom.ua/remote/dispatcher/state_purchase_view/14471366" ref="B821" r:id="rId1632"/>
    <hyperlink display="https://my.zakupki.prom.ua/remote/dispatcher/state_contracting_view/3627871" ref="D821" r:id="rId1633"/>
    <hyperlink display="https://my.zakupki.prom.ua/remote/dispatcher/state_purchase_view/16491923" ref="B822" r:id="rId1634"/>
    <hyperlink display="https://my.zakupki.prom.ua/remote/dispatcher/state_contracting_view/4197888" ref="D822" r:id="rId1635"/>
    <hyperlink display="https://my.zakupki.prom.ua/remote/dispatcher/state_purchase_view/18785339" ref="B823" r:id="rId1636"/>
    <hyperlink display="https://my.zakupki.prom.ua/remote/dispatcher/state_contracting_view/5254668" ref="D823" r:id="rId1637"/>
    <hyperlink display="https://my.zakupki.prom.ua/remote/dispatcher/state_purchase_view/18787327" ref="B824" r:id="rId1638"/>
    <hyperlink display="https://my.zakupki.prom.ua/remote/dispatcher/state_contracting_view/5255435" ref="D824" r:id="rId1639"/>
    <hyperlink display="https://my.zakupki.prom.ua/remote/dispatcher/state_purchase_view/18738456" ref="B825" r:id="rId1640"/>
    <hyperlink display="https://my.zakupki.prom.ua/remote/dispatcher/state_contracting_view/5268048" ref="D825" r:id="rId1641"/>
    <hyperlink display="https://my.zakupki.prom.ua/remote/dispatcher/state_purchase_view/18094452" ref="B826" r:id="rId1642"/>
    <hyperlink display="https://my.zakupki.prom.ua/remote/dispatcher/state_contracting_view/4930444" ref="D826" r:id="rId1643"/>
    <hyperlink display="https://my.zakupki.prom.ua/remote/dispatcher/state_purchase_view/18121483" ref="B827" r:id="rId1644"/>
    <hyperlink display="https://my.zakupki.prom.ua/remote/dispatcher/state_contracting_view/4942948" ref="D827" r:id="rId1645"/>
    <hyperlink display="https://my.zakupki.prom.ua/remote/dispatcher/state_purchase_view/18486564" ref="B828" r:id="rId1646"/>
    <hyperlink display="https://my.zakupki.prom.ua/remote/dispatcher/state_contracting_view/5112481" ref="D828" r:id="rId1647"/>
    <hyperlink display="https://my.zakupki.prom.ua/remote/dispatcher/state_purchase_view/19020866" ref="B829" r:id="rId1648"/>
    <hyperlink display="https://my.zakupki.prom.ua/remote/dispatcher/state_contracting_view/5368381" ref="D829" r:id="rId1649"/>
    <hyperlink display="https://my.zakupki.prom.ua/remote/dispatcher/state_purchase_view/18847566" ref="B830" r:id="rId1650"/>
    <hyperlink display="https://my.zakupki.prom.ua/remote/dispatcher/state_contracting_view/5284971" ref="D830" r:id="rId1651"/>
    <hyperlink display="https://my.zakupki.prom.ua/remote/dispatcher/state_purchase_view/18455252" ref="B831" r:id="rId1652"/>
    <hyperlink display="https://my.zakupki.prom.ua/remote/dispatcher/state_contracting_view/5153625" ref="D831" r:id="rId1653"/>
    <hyperlink display="https://my.zakupki.prom.ua/remote/dispatcher/state_purchase_view/18649258" ref="B832" r:id="rId1654"/>
    <hyperlink display="https://my.zakupki.prom.ua/remote/dispatcher/state_contracting_view/5188689" ref="D832" r:id="rId1655"/>
    <hyperlink display="https://my.zakupki.prom.ua/remote/dispatcher/state_purchase_view/16407644" ref="B833" r:id="rId1656"/>
    <hyperlink display="https://my.zakupki.prom.ua/remote/dispatcher/state_contracting_view/4159270" ref="D833" r:id="rId1657"/>
    <hyperlink display="https://my.zakupki.prom.ua/remote/dispatcher/state_purchase_view/17091724" ref="B834" r:id="rId1658"/>
    <hyperlink display="https://my.zakupki.prom.ua/remote/dispatcher/state_contracting_view/4464755" ref="D834" r:id="rId1659"/>
    <hyperlink display="https://my.zakupki.prom.ua/remote/dispatcher/state_purchase_view/16597049" ref="B835" r:id="rId1660"/>
    <hyperlink display="https://my.zakupki.prom.ua/remote/dispatcher/state_contracting_view/4243762" ref="D835" r:id="rId1661"/>
    <hyperlink display="https://my.zakupki.prom.ua/remote/dispatcher/state_purchase_view/19244586" ref="B836" r:id="rId1662"/>
    <hyperlink display="https://my.zakupki.prom.ua/remote/dispatcher/state_contracting_view/5472056" ref="D836" r:id="rId1663"/>
    <hyperlink display="https://my.zakupki.prom.ua/remote/dispatcher/state_purchase_view/19772205" ref="B837" r:id="rId1664"/>
    <hyperlink display="https://my.zakupki.prom.ua/remote/dispatcher/state_contracting_view/5792413" ref="D837" r:id="rId1665"/>
    <hyperlink display="https://my.zakupki.prom.ua/remote/dispatcher/state_purchase_view/19938108" ref="B838" r:id="rId1666"/>
    <hyperlink display="https://my.zakupki.prom.ua/remote/dispatcher/state_contracting_view/5798693" ref="D838" r:id="rId1667"/>
    <hyperlink display="https://my.zakupki.prom.ua/remote/dispatcher/state_purchase_view/19659081" ref="B839" r:id="rId1668"/>
    <hyperlink display="https://my.zakupki.prom.ua/remote/dispatcher/state_contracting_view/5668732" ref="D839" r:id="rId1669"/>
    <hyperlink display="https://my.zakupki.prom.ua/remote/dispatcher/state_purchase_view/19869116" ref="B840" r:id="rId1670"/>
    <hyperlink display="https://my.zakupki.prom.ua/remote/dispatcher/state_contracting_view/5766535" ref="D840" r:id="rId1671"/>
    <hyperlink display="https://my.zakupki.prom.ua/remote/dispatcher/state_purchase_view/20209743" ref="B841" r:id="rId1672"/>
    <hyperlink display="https://my.zakupki.prom.ua/remote/dispatcher/state_contracting_view/5927487" ref="D841" r:id="rId1673"/>
    <hyperlink display="https://my.zakupki.prom.ua/remote/dispatcher/state_purchase_view/20018931" ref="B842" r:id="rId1674"/>
    <hyperlink display="https://my.zakupki.prom.ua/remote/dispatcher/state_contracting_view/5836286" ref="D842" r:id="rId1675"/>
    <hyperlink display="https://my.zakupki.prom.ua/remote/dispatcher/state_purchase_view/19831967" ref="B843" r:id="rId1676"/>
    <hyperlink display="https://my.zakupki.prom.ua/remote/dispatcher/state_contracting_view/5750721" ref="D843" r:id="rId1677"/>
    <hyperlink display="https://my.zakupki.prom.ua/remote/dispatcher/state_purchase_view/17452751" ref="B844" r:id="rId1678"/>
    <hyperlink display="https://my.zakupki.prom.ua/remote/dispatcher/state_contracting_view/4630913" ref="D844" r:id="rId1679"/>
    <hyperlink display="https://my.zakupki.prom.ua/remote/dispatcher/state_purchase_view/17971696" ref="B845" r:id="rId1680"/>
    <hyperlink display="https://my.zakupki.prom.ua/remote/dispatcher/state_contracting_view/4872065" ref="D845" r:id="rId1681"/>
    <hyperlink display="https://my.zakupki.prom.ua/remote/dispatcher/state_purchase_view/18202409" ref="B846" r:id="rId1682"/>
    <hyperlink display="https://my.zakupki.prom.ua/remote/dispatcher/state_contracting_view/4981095" ref="D846" r:id="rId1683"/>
    <hyperlink display="https://my.zakupki.prom.ua/remote/dispatcher/state_purchase_view/17912772" ref="B847" r:id="rId1684"/>
    <hyperlink display="https://my.zakupki.prom.ua/remote/dispatcher/state_contracting_view/4844557" ref="D847" r:id="rId1685"/>
    <hyperlink display="https://my.zakupki.prom.ua/remote/dispatcher/state_purchase_view/18184875" ref="B848" r:id="rId1686"/>
    <hyperlink display="https://my.zakupki.prom.ua/remote/dispatcher/state_contracting_view/4972981" ref="D848" r:id="rId1687"/>
    <hyperlink display="https://my.zakupki.prom.ua/remote/dispatcher/state_purchase_view/18426418" ref="B849" r:id="rId1688"/>
    <hyperlink display="https://my.zakupki.prom.ua/remote/dispatcher/state_contracting_view/5083872" ref="D849" r:id="rId1689"/>
    <hyperlink display="https://my.zakupki.prom.ua/remote/dispatcher/state_purchase_view/18124131" ref="B850" r:id="rId1690"/>
    <hyperlink display="https://my.zakupki.prom.ua/remote/dispatcher/state_contracting_view/4944257" ref="D850" r:id="rId1691"/>
    <hyperlink display="https://my.zakupki.prom.ua/remote/dispatcher/state_purchase_view/17755840" ref="B851" r:id="rId1692"/>
    <hyperlink display="https://my.zakupki.prom.ua/remote/dispatcher/state_contracting_view/4772486" ref="D851" r:id="rId1693"/>
    <hyperlink display="https://my.zakupki.prom.ua/remote/dispatcher/state_purchase_view/17778087" ref="B852" r:id="rId1694"/>
    <hyperlink display="https://my.zakupki.prom.ua/remote/dispatcher/state_contracting_view/4782198" ref="D852" r:id="rId1695"/>
    <hyperlink display="https://my.zakupki.prom.ua/remote/dispatcher/state_purchase_view/17236465" ref="B853" r:id="rId1696"/>
    <hyperlink display="https://my.zakupki.prom.ua/remote/dispatcher/state_contracting_view/4531111" ref="D853" r:id="rId1697"/>
    <hyperlink display="https://my.zakupki.prom.ua/remote/dispatcher/state_purchase_view/17451956" ref="B854" r:id="rId1698"/>
    <hyperlink display="https://my.zakupki.prom.ua/remote/dispatcher/state_contracting_view/4630626" ref="D854" r:id="rId1699"/>
    <hyperlink display="https://my.zakupki.prom.ua/remote/dispatcher/state_purchase_view/17353995" ref="B855" r:id="rId1700"/>
    <hyperlink display="https://my.zakupki.prom.ua/remote/dispatcher/state_contracting_view/4585437" ref="D855" r:id="rId1701"/>
    <hyperlink display="https://my.zakupki.prom.ua/remote/dispatcher/state_purchase_view/17317723" ref="B856" r:id="rId1702"/>
    <hyperlink display="https://my.zakupki.prom.ua/remote/dispatcher/state_contracting_view/4568438" ref="D856" r:id="rId1703"/>
    <hyperlink display="https://my.zakupki.prom.ua/remote/dispatcher/state_purchase_view/17564824" ref="B857" r:id="rId1704"/>
    <hyperlink display="https://my.zakupki.prom.ua/remote/dispatcher/state_contracting_view/4685310" ref="D857" r:id="rId1705"/>
    <hyperlink display="https://my.zakupki.prom.ua/remote/dispatcher/state_purchase_view/19204251" ref="B858" r:id="rId1706"/>
    <hyperlink display="https://my.zakupki.prom.ua/remote/dispatcher/state_contracting_view/5452444" ref="D858" r:id="rId1707"/>
    <hyperlink display="https://my.zakupki.prom.ua/remote/dispatcher/state_purchase_view/19508122" ref="B859" r:id="rId1708"/>
    <hyperlink display="https://my.zakupki.prom.ua/remote/dispatcher/state_contracting_view/5596477" ref="D859" r:id="rId1709"/>
    <hyperlink display="https://my.zakupki.prom.ua/remote/dispatcher/state_purchase_view/19507749" ref="B860" r:id="rId1710"/>
    <hyperlink display="https://my.zakupki.prom.ua/remote/dispatcher/state_contracting_view/5596275" ref="D860" r:id="rId1711"/>
    <hyperlink display="https://my.zakupki.prom.ua/remote/dispatcher/state_purchase_view/19360991" ref="B861" r:id="rId1712"/>
    <hyperlink display="https://my.zakupki.prom.ua/remote/dispatcher/state_contracting_view/5527400" ref="D861" r:id="rId1713"/>
    <hyperlink display="https://my.zakupki.prom.ua/remote/dispatcher/state_purchase_view/19342162" ref="B862" r:id="rId1714"/>
    <hyperlink display="https://my.zakupki.prom.ua/remote/dispatcher/state_contracting_view/5518268" ref="D862" r:id="rId1715"/>
    <hyperlink display="https://my.zakupki.prom.ua/remote/dispatcher/state_purchase_view/19113339" ref="B863" r:id="rId1716"/>
    <hyperlink display="https://my.zakupki.prom.ua/remote/dispatcher/state_contracting_view/5410094" ref="D863" r:id="rId1717"/>
    <hyperlink display="https://my.zakupki.prom.ua/remote/dispatcher/state_purchase_view/19440063" ref="B864" r:id="rId1718"/>
    <hyperlink display="https://my.zakupki.prom.ua/remote/dispatcher/state_contracting_view/5564181" ref="D864" r:id="rId1719"/>
    <hyperlink display="https://my.zakupki.prom.ua/remote/dispatcher/state_purchase_view/19428227" ref="B865" r:id="rId1720"/>
    <hyperlink display="https://my.zakupki.prom.ua/remote/dispatcher/state_contracting_view/5559235" ref="D865" r:id="rId1721"/>
    <hyperlink display="https://my.zakupki.prom.ua/remote/dispatcher/state_purchase_view/18984720" ref="B866" r:id="rId1722"/>
    <hyperlink display="https://my.zakupki.prom.ua/remote/dispatcher/state_contracting_view/5348598" ref="D866" r:id="rId1723"/>
    <hyperlink display="https://my.zakupki.prom.ua/remote/dispatcher/state_purchase_view/20576701" ref="B867" r:id="rId1724"/>
    <hyperlink display="https://my.zakupki.prom.ua/remote/dispatcher/state_contracting_view/6107704" ref="D867" r:id="rId1725"/>
    <hyperlink display="https://my.zakupki.prom.ua/remote/dispatcher/state_purchase_view/20985969" ref="B868" r:id="rId1726"/>
    <hyperlink display="https://my.zakupki.prom.ua/remote/dispatcher/state_contracting_view/6301405" ref="D868" r:id="rId1727"/>
    <hyperlink display="https://my.zakupki.prom.ua/remote/dispatcher/state_purchase_view/20826248" ref="B869" r:id="rId1728"/>
    <hyperlink display="https://my.zakupki.prom.ua/remote/dispatcher/state_contracting_view/6225192" ref="D869" r:id="rId1729"/>
    <hyperlink display="https://my.zakupki.prom.ua/remote/dispatcher/state_purchase_view/20829904" ref="B870" r:id="rId1730"/>
    <hyperlink display="https://my.zakupki.prom.ua/remote/dispatcher/state_contracting_view/6226445" ref="D870" r:id="rId1731"/>
    <hyperlink display="https://my.zakupki.prom.ua/remote/dispatcher/state_purchase_view/20880661" ref="B871" r:id="rId1732"/>
    <hyperlink display="https://my.zakupki.prom.ua/remote/dispatcher/state_contracting_view/6251184" ref="D871" r:id="rId1733"/>
    <hyperlink display="https://my.zakupki.prom.ua/remote/dispatcher/state_purchase_view/20879200" ref="B872" r:id="rId1734"/>
    <hyperlink display="https://my.zakupki.prom.ua/remote/dispatcher/state_contracting_view/6250597" ref="D872" r:id="rId1735"/>
    <hyperlink display="https://my.zakupki.prom.ua/remote/dispatcher/state_purchase_view/20736042" ref="B873" r:id="rId1736"/>
    <hyperlink display="https://my.zakupki.prom.ua/remote/dispatcher/state_contracting_view/6182022" ref="D873" r:id="rId1737"/>
    <hyperlink display="https://my.zakupki.prom.ua/remote/dispatcher/state_purchase_view/20278844" ref="B874" r:id="rId1738"/>
    <hyperlink display="https://my.zakupki.prom.ua/remote/dispatcher/state_contracting_view/5960480" ref="D874" r:id="rId1739"/>
    <hyperlink display="https://my.zakupki.prom.ua/remote/dispatcher/state_purchase_view/20279242" ref="B875" r:id="rId1740"/>
    <hyperlink display="https://my.zakupki.prom.ua/remote/dispatcher/state_contracting_view/5960693" ref="D875" r:id="rId1741"/>
    <hyperlink display="https://my.zakupki.prom.ua/remote/dispatcher/state_purchase_view/20596691" ref="B876" r:id="rId1742"/>
    <hyperlink display="https://my.zakupki.prom.ua/remote/dispatcher/state_contracting_view/6117124" ref="D876" r:id="rId1743"/>
    <hyperlink display="https://my.zakupki.prom.ua/remote/dispatcher/state_purchase_view/20071352" ref="B877" r:id="rId1744"/>
    <hyperlink display="https://my.zakupki.prom.ua/remote/dispatcher/state_contracting_view/5861910" ref="D877" r:id="rId1745"/>
    <hyperlink display="https://my.zakupki.prom.ua/remote/dispatcher/state_purchase_view/17594032" ref="B878" r:id="rId1746"/>
    <hyperlink display="https://my.zakupki.prom.ua/remote/dispatcher/state_contracting_view/4697088" ref="D878" r:id="rId1747"/>
    <hyperlink display="https://my.zakupki.prom.ua/remote/dispatcher/state_purchase_view/17690077" ref="B879" r:id="rId1748"/>
    <hyperlink display="https://my.zakupki.prom.ua/remote/dispatcher/state_contracting_view/4741358" ref="D879" r:id="rId1749"/>
    <hyperlink display="https://my.zakupki.prom.ua/remote/dispatcher/state_purchase_view/17789101" ref="B880" r:id="rId1750"/>
    <hyperlink display="https://my.zakupki.prom.ua/remote/dispatcher/state_contracting_view/4787236" ref="D880" r:id="rId1751"/>
    <hyperlink display="https://my.zakupki.prom.ua/remote/dispatcher/state_purchase_view/17836297" ref="B881" r:id="rId1752"/>
    <hyperlink display="https://my.zakupki.prom.ua/remote/dispatcher/state_contracting_view/4809427" ref="D881" r:id="rId1753"/>
    <hyperlink display="https://my.zakupki.prom.ua/remote/dispatcher/state_purchase_view/17223057" ref="B882" r:id="rId1754"/>
    <hyperlink display="https://my.zakupki.prom.ua/remote/dispatcher/state_contracting_view/4525264" ref="D882" r:id="rId1755"/>
    <hyperlink display="https://my.zakupki.prom.ua/remote/dispatcher/state_purchase_view/17228420" ref="B883" r:id="rId1756"/>
    <hyperlink display="https://my.zakupki.prom.ua/remote/dispatcher/state_contracting_view/4527559" ref="D883" r:id="rId1757"/>
    <hyperlink display="https://my.zakupki.prom.ua/remote/dispatcher/state_purchase_view/17126853" ref="B884" r:id="rId1758"/>
    <hyperlink display="https://my.zakupki.prom.ua/remote/dispatcher/state_contracting_view/4481112" ref="D884" r:id="rId1759"/>
    <hyperlink display="https://my.zakupki.prom.ua/remote/dispatcher/state_purchase_view/17575911" ref="B885" r:id="rId1760"/>
    <hyperlink display="https://my.zakupki.prom.ua/remote/dispatcher/state_contracting_view/4688607" ref="D885" r:id="rId1761"/>
    <hyperlink display="https://my.zakupki.prom.ua/remote/dispatcher/state_purchase_view/18028569" ref="B886" r:id="rId1762"/>
    <hyperlink display="https://my.zakupki.prom.ua/remote/dispatcher/state_contracting_view/4899252" ref="D886" r:id="rId1763"/>
    <hyperlink display="https://my.zakupki.prom.ua/remote/dispatcher/state_purchase_view/17884304" ref="B887" r:id="rId1764"/>
    <hyperlink display="https://my.zakupki.prom.ua/remote/dispatcher/state_contracting_view/4831579" ref="D887" r:id="rId1765"/>
    <hyperlink display="https://my.zakupki.prom.ua/remote/dispatcher/state_purchase_view/17859023" ref="B888" r:id="rId1766"/>
    <hyperlink display="https://my.zakupki.prom.ua/remote/dispatcher/state_contracting_view/4820219" ref="D888" r:id="rId1767"/>
    <hyperlink display="https://my.zakupki.prom.ua/remote/dispatcher/state_purchase_view/17774365" ref="B889" r:id="rId1768"/>
    <hyperlink display="https://my.zakupki.prom.ua/remote/dispatcher/state_contracting_view/4780730" ref="D889" r:id="rId1769"/>
    <hyperlink display="https://my.zakupki.prom.ua/remote/dispatcher/state_purchase_view/21295166" ref="B890" r:id="rId1770"/>
    <hyperlink display="https://my.zakupki.prom.ua/remote/dispatcher/state_contracting_view/6445000" ref="D890" r:id="rId1771"/>
    <hyperlink display="https://my.zakupki.prom.ua/remote/dispatcher/state_purchase_view/18614149" ref="B891" r:id="rId1772"/>
    <hyperlink display="https://my.zakupki.prom.ua/remote/dispatcher/state_contracting_view/5235618" ref="D891" r:id="rId1773"/>
    <hyperlink display="https://my.zakupki.prom.ua/remote/dispatcher/state_purchase_view/18903450" ref="B892" r:id="rId1774"/>
    <hyperlink display="https://my.zakupki.prom.ua/remote/dispatcher/state_contracting_view/5315825" ref="D892" r:id="rId1775"/>
    <hyperlink display="https://my.zakupki.prom.ua/remote/dispatcher/state_purchase_view/18936951" ref="B893" r:id="rId1776"/>
    <hyperlink display="https://my.zakupki.prom.ua/remote/dispatcher/state_contracting_view/5325835" ref="D893" r:id="rId1777"/>
    <hyperlink display="https://my.zakupki.prom.ua/remote/dispatcher/state_purchase_view/20877707" ref="B894" r:id="rId1778"/>
    <hyperlink display="https://my.zakupki.prom.ua/remote/dispatcher/state_contracting_view/6249792" ref="D894" r:id="rId1779"/>
    <hyperlink display="https://my.zakupki.prom.ua/remote/dispatcher/state_purchase_view/20876298" ref="B895" r:id="rId1780"/>
    <hyperlink display="https://my.zakupki.prom.ua/remote/dispatcher/state_contracting_view/6249193" ref="D895" r:id="rId1781"/>
    <hyperlink display="https://my.zakupki.prom.ua/remote/dispatcher/state_purchase_view/20983973" ref="B896" r:id="rId1782"/>
    <hyperlink display="https://my.zakupki.prom.ua/remote/dispatcher/state_contracting_view/6300521" ref="D896" r:id="rId1783"/>
    <hyperlink display="https://my.zakupki.prom.ua/remote/dispatcher/state_purchase_view/21484454" ref="B897" r:id="rId1784"/>
    <hyperlink display="https://my.zakupki.prom.ua/remote/dispatcher/state_contracting_view/6533598" ref="D897" r:id="rId1785"/>
    <hyperlink display="https://my.zakupki.prom.ua/remote/dispatcher/state_purchase_view/21121524" ref="B898" r:id="rId1786"/>
    <hyperlink display="https://my.zakupki.prom.ua/remote/dispatcher/state_contracting_view/6364411" ref="D898" r:id="rId1787"/>
    <hyperlink display="https://my.zakupki.prom.ua/remote/dispatcher/state_purchase_view/21173330" ref="B899" r:id="rId1788"/>
    <hyperlink display="https://my.zakupki.prom.ua/remote/dispatcher/state_contracting_view/6388345" ref="D899" r:id="rId1789"/>
    <hyperlink display="https://my.zakupki.prom.ua/remote/dispatcher/state_purchase_view/17984643" ref="B900" r:id="rId1790"/>
    <hyperlink display="https://my.zakupki.prom.ua/remote/dispatcher/state_contracting_view/4878492" ref="D900" r:id="rId1791"/>
    <hyperlink display="https://my.zakupki.prom.ua/remote/dispatcher/state_purchase_view/18335163" ref="B901" r:id="rId1792"/>
    <hyperlink display="https://my.zakupki.prom.ua/remote/dispatcher/state_contracting_view/5041284" ref="D901" r:id="rId1793"/>
    <hyperlink display="https://my.zakupki.prom.ua/remote/dispatcher/state_purchase_view/18512203" ref="B902" r:id="rId1794"/>
    <hyperlink display="https://my.zakupki.prom.ua/remote/dispatcher/state_contracting_view/5124325" ref="D902" r:id="rId1795"/>
    <hyperlink display="https://my.zakupki.prom.ua/remote/dispatcher/state_purchase_view/18644457" ref="B903" r:id="rId1796"/>
    <hyperlink display="https://my.zakupki.prom.ua/remote/dispatcher/state_contracting_view/5186498" ref="D903" r:id="rId1797"/>
    <hyperlink display="https://my.zakupki.prom.ua/remote/dispatcher/state_purchase_view/18254519" ref="B904" r:id="rId1798"/>
    <hyperlink display="https://my.zakupki.prom.ua/remote/dispatcher/state_contracting_view/5004166" ref="D904" r:id="rId1799"/>
    <hyperlink display="https://my.zakupki.prom.ua/remote/dispatcher/state_purchase_view/18256894" ref="B905" r:id="rId1800"/>
    <hyperlink display="https://my.zakupki.prom.ua/remote/dispatcher/state_contracting_view/5005220" ref="D905" r:id="rId1801"/>
    <hyperlink display="https://my.zakupki.prom.ua/remote/dispatcher/state_purchase_view/18479906" ref="B906" r:id="rId1802"/>
    <hyperlink display="https://my.zakupki.prom.ua/remote/dispatcher/state_contracting_view/5108971" ref="D906" r:id="rId1803"/>
    <hyperlink display="https://my.zakupki.prom.ua/remote/dispatcher/state_purchase_view/18619257" ref="B907" r:id="rId1804"/>
    <hyperlink display="https://my.zakupki.prom.ua/remote/dispatcher/state_contracting_view/5174790" ref="D907" r:id="rId1805"/>
    <hyperlink display="https://my.zakupki.prom.ua/remote/dispatcher/state_purchase_view/18597025" ref="B908" r:id="rId1806"/>
    <hyperlink display="https://my.zakupki.prom.ua/remote/dispatcher/state_contracting_view/5164241" ref="D908" r:id="rId1807"/>
    <hyperlink display="https://my.zakupki.prom.ua/remote/dispatcher/state_purchase_view/19359544" ref="B909" r:id="rId1808"/>
    <hyperlink display="https://my.zakupki.prom.ua/remote/dispatcher/state_contracting_view/5526642" ref="D909" r:id="rId1809"/>
    <hyperlink display="https://my.zakupki.prom.ua/remote/dispatcher/state_purchase_view/19341443" ref="B910" r:id="rId1810"/>
    <hyperlink display="https://my.zakupki.prom.ua/remote/dispatcher/state_contracting_view/5518224" ref="D910" r:id="rId1811"/>
    <hyperlink display="https://my.zakupki.prom.ua/remote/dispatcher/state_purchase_view/19886779" ref="B911" r:id="rId1812"/>
    <hyperlink display="https://my.zakupki.prom.ua/remote/dispatcher/state_contracting_view/5774718" ref="D911" r:id="rId1813"/>
    <hyperlink display="https://my.zakupki.prom.ua/remote/dispatcher/state_purchase_view/19885354" ref="B912" r:id="rId1814"/>
    <hyperlink display="https://my.zakupki.prom.ua/remote/dispatcher/state_contracting_view/5773757" ref="D912" r:id="rId1815"/>
    <hyperlink display="https://my.zakupki.prom.ua/remote/dispatcher/state_purchase_view/20107837" ref="B913" r:id="rId1816"/>
    <hyperlink display="https://my.zakupki.prom.ua/remote/dispatcher/state_contracting_view/5878872" ref="D913" r:id="rId1817"/>
    <hyperlink display="https://my.zakupki.prom.ua/remote/dispatcher/state_purchase_view/20686427" ref="B914" r:id="rId1818"/>
    <hyperlink display="https://my.zakupki.prom.ua/remote/dispatcher/state_contracting_view/6167582" ref="D914" r:id="rId1819"/>
    <hyperlink display="https://my.zakupki.prom.ua/remote/dispatcher/state_purchase_view/20577598" ref="B915" r:id="rId1820"/>
    <hyperlink display="https://my.zakupki.prom.ua/remote/dispatcher/state_contracting_view/6109702" ref="D915" r:id="rId1821"/>
    <hyperlink display="https://my.zakupki.prom.ua/remote/dispatcher/state_purchase_view/20581337" ref="B916" r:id="rId1822"/>
    <hyperlink display="https://my.zakupki.prom.ua/remote/dispatcher/state_contracting_view/6109965" ref="D916" r:id="rId1823"/>
    <hyperlink display="https://my.zakupki.prom.ua/remote/dispatcher/state_purchase_view/20378143" ref="B917" r:id="rId1824"/>
    <hyperlink display="https://my.zakupki.prom.ua/remote/dispatcher/state_contracting_view/6009884" ref="D917" r:id="rId1825"/>
    <hyperlink display="https://my.zakupki.prom.ua/remote/dispatcher/state_purchase_view/20376935" ref="B918" r:id="rId1826"/>
    <hyperlink display="https://my.zakupki.prom.ua/remote/dispatcher/state_contracting_view/6008673" ref="D918" r:id="rId1827"/>
    <hyperlink display="https://my.zakupki.prom.ua/remote/dispatcher/state_purchase_view/19430792" ref="B919" r:id="rId1828"/>
    <hyperlink display="https://my.zakupki.prom.ua/remote/dispatcher/state_contracting_view/5560228" ref="D919" r:id="rId1829"/>
    <hyperlink display="https://my.zakupki.prom.ua/remote/dispatcher/state_purchase_view/19644292" ref="B920" r:id="rId1830"/>
    <hyperlink display="https://my.zakupki.prom.ua/remote/dispatcher/state_contracting_view/5661640" ref="D920" r:id="rId1831"/>
    <hyperlink display="https://my.zakupki.prom.ua/remote/dispatcher/state_purchase_view/18864768" ref="B921" r:id="rId1832"/>
    <hyperlink display="https://my.zakupki.prom.ua/remote/dispatcher/state_contracting_view/5293093" ref="D921" r:id="rId1833"/>
    <hyperlink display="https://my.zakupki.prom.ua/remote/dispatcher/state_purchase_view/18989193" ref="B922" r:id="rId1834"/>
    <hyperlink display="https://my.zakupki.prom.ua/remote/dispatcher/state_contracting_view/5351210" ref="D922" r:id="rId1835"/>
    <hyperlink display="https://my.zakupki.prom.ua/remote/dispatcher/state_purchase_view/19041276" ref="B923" r:id="rId1836"/>
    <hyperlink display="https://my.zakupki.prom.ua/remote/dispatcher/state_contracting_view/5375434" ref="D923" r:id="rId1837"/>
    <hyperlink display="https://my.zakupki.prom.ua/remote/dispatcher/state_purchase_view/18587176" ref="B924" r:id="rId1838"/>
    <hyperlink display="https://my.zakupki.prom.ua/remote/dispatcher/state_contracting_view/5235503" ref="D924" r:id="rId1839"/>
    <hyperlink display="https://my.zakupki.prom.ua/remote/dispatcher/state_purchase_view/21613817" ref="B925" r:id="rId1840"/>
    <hyperlink display="https://my.zakupki.prom.ua/remote/dispatcher/state_contracting_view/6594553" ref="D925" r:id="rId1841"/>
    <hyperlink display="https://my.zakupki.prom.ua/remote/dispatcher/state_purchase_view/22423533" ref="B926" r:id="rId1842"/>
    <hyperlink display="https://my.zakupki.prom.ua/remote/dispatcher/state_contracting_view/6979538" ref="D926" r:id="rId1843"/>
    <hyperlink display="https://my.zakupki.prom.ua/remote/dispatcher/state_purchase_view/21696316" ref="B927" r:id="rId1844"/>
    <hyperlink display="https://my.zakupki.prom.ua/remote/dispatcher/state_contracting_view/6633034" ref="D927" r:id="rId1845"/>
    <hyperlink display="https://my.zakupki.prom.ua/remote/dispatcher/state_purchase_view/21861029" ref="B928" r:id="rId1846"/>
    <hyperlink display="https://my.zakupki.prom.ua/remote/dispatcher/state_contracting_view/6712521" ref="D928" r:id="rId1847"/>
    <hyperlink display="https://my.zakupki.prom.ua/remote/dispatcher/state_purchase_view/22585371" ref="B929" r:id="rId1848"/>
    <hyperlink display="https://my.zakupki.prom.ua/remote/dispatcher/state_contracting_view/7059379" ref="D929" r:id="rId1849"/>
    <hyperlink display="https://my.zakupki.prom.ua/remote/dispatcher/state_purchase_view/22586307" ref="B930" r:id="rId1850"/>
    <hyperlink display="https://my.zakupki.prom.ua/remote/dispatcher/state_contracting_view/7060082" ref="D930" r:id="rId1851"/>
    <hyperlink display="https://my.zakupki.prom.ua/remote/dispatcher/state_purchase_view/18043911" ref="B931" r:id="rId1852"/>
    <hyperlink display="https://my.zakupki.prom.ua/remote/dispatcher/state_contracting_view/4906252" ref="D931" r:id="rId1853"/>
    <hyperlink display="https://my.zakupki.prom.ua/remote/dispatcher/state_purchase_view/17536590" ref="B932" r:id="rId1854"/>
    <hyperlink display="https://my.zakupki.prom.ua/remote/dispatcher/state_contracting_view/4670557" ref="D932" r:id="rId1855"/>
    <hyperlink display="https://my.zakupki.prom.ua/remote/dispatcher/state_purchase_view/18097683" ref="B933" r:id="rId1856"/>
    <hyperlink display="https://my.zakupki.prom.ua/remote/dispatcher/state_contracting_view/4932216" ref="D933" r:id="rId1857"/>
    <hyperlink display="https://my.zakupki.prom.ua/remote/dispatcher/state_purchase_view/18201821" ref="B934" r:id="rId1858"/>
    <hyperlink display="https://my.zakupki.prom.ua/remote/dispatcher/state_contracting_view/4980747" ref="D934" r:id="rId1859"/>
    <hyperlink display="https://my.zakupki.prom.ua/remote/dispatcher/state_purchase_view/18181783" ref="B935" r:id="rId1860"/>
    <hyperlink display="https://my.zakupki.prom.ua/remote/dispatcher/state_contracting_view/4971322" ref="D935" r:id="rId1861"/>
    <hyperlink display="https://my.zakupki.prom.ua/remote/dispatcher/state_purchase_view/18209094" ref="B936" r:id="rId1862"/>
    <hyperlink display="https://my.zakupki.prom.ua/remote/dispatcher/state_contracting_view/4984132" ref="D936" r:id="rId1863"/>
    <hyperlink display="https://my.zakupki.prom.ua/remote/dispatcher/state_purchase_view/20208706" ref="B937" r:id="rId1864"/>
    <hyperlink display="https://my.zakupki.prom.ua/remote/dispatcher/state_contracting_view/5926782" ref="D937" r:id="rId1865"/>
    <hyperlink display="https://my.zakupki.prom.ua/remote/dispatcher/state_purchase_view/20070808" ref="B938" r:id="rId1866"/>
    <hyperlink display="https://my.zakupki.prom.ua/remote/dispatcher/state_contracting_view/5861199" ref="D938" r:id="rId1867"/>
    <hyperlink display="https://my.zakupki.prom.ua/remote/dispatcher/state_purchase_view/20109975" ref="B939" r:id="rId1868"/>
    <hyperlink display="https://my.zakupki.prom.ua/remote/dispatcher/state_contracting_view/5880057" ref="D939" r:id="rId1869"/>
    <hyperlink display="https://my.zakupki.prom.ua/remote/dispatcher/state_purchase_view/15484246" ref="B940" r:id="rId1870"/>
    <hyperlink display="https://my.zakupki.prom.ua/remote/dispatcher/state_contracting_view/3855798" ref="D940" r:id="rId1871"/>
    <hyperlink display="https://my.zakupki.prom.ua/remote/dispatcher/state_purchase_view/15394403" ref="B941" r:id="rId1872"/>
    <hyperlink display="https://my.zakupki.prom.ua/remote/dispatcher/state_contracting_view/3829535" ref="D941" r:id="rId1873"/>
    <hyperlink display="https://my.zakupki.prom.ua/remote/dispatcher/state_purchase_view/15941679" ref="B942" r:id="rId1874"/>
    <hyperlink display="https://my.zakupki.prom.ua/remote/dispatcher/state_contracting_view/3995149" ref="D942" r:id="rId1875"/>
    <hyperlink display="https://my.zakupki.prom.ua/remote/dispatcher/state_purchase_view/15692476" ref="B943" r:id="rId1876"/>
    <hyperlink display="https://my.zakupki.prom.ua/remote/dispatcher/state_contracting_view/3916823" ref="D943" r:id="rId1877"/>
    <hyperlink display="https://my.zakupki.prom.ua/remote/dispatcher/state_purchase_view/16906291" ref="B944" r:id="rId1878"/>
    <hyperlink display="https://my.zakupki.prom.ua/remote/dispatcher/state_contracting_view/4382876" ref="D944" r:id="rId1879"/>
    <hyperlink display="https://my.zakupki.prom.ua/remote/dispatcher/state_purchase_view/16887904" ref="B945" r:id="rId1880"/>
    <hyperlink display="https://my.zakupki.prom.ua/remote/dispatcher/state_contracting_view/4373009" ref="D945" r:id="rId1881"/>
    <hyperlink display="https://my.zakupki.prom.ua/remote/dispatcher/state_purchase_view/16970785" ref="B946" r:id="rId1882"/>
    <hyperlink display="https://my.zakupki.prom.ua/remote/dispatcher/state_contracting_view/4410968" ref="D946" r:id="rId1883"/>
    <hyperlink display="https://my.zakupki.prom.ua/remote/dispatcher/state_purchase_view/16171553" ref="B947" r:id="rId1884"/>
    <hyperlink display="https://my.zakupki.prom.ua/remote/dispatcher/state_contracting_view/4076238" ref="D947" r:id="rId1885"/>
    <hyperlink display="https://my.zakupki.prom.ua/remote/dispatcher/state_purchase_view/16284412" ref="B948" r:id="rId1886"/>
    <hyperlink display="https://my.zakupki.prom.ua/remote/dispatcher/state_contracting_view/4114627" ref="D948" r:id="rId1887"/>
    <hyperlink display="https://my.zakupki.prom.ua/remote/dispatcher/state_purchase_view/16494583" ref="B949" r:id="rId1888"/>
    <hyperlink display="https://my.zakupki.prom.ua/remote/dispatcher/state_contracting_view/4199703" ref="D949" r:id="rId1889"/>
    <hyperlink display="https://my.zakupki.prom.ua/remote/dispatcher/state_purchase_view/15138003" ref="B950" r:id="rId1890"/>
    <hyperlink display="https://my.zakupki.prom.ua/remote/dispatcher/state_contracting_view/3762112" ref="D950" r:id="rId1891"/>
    <hyperlink display="https://my.zakupki.prom.ua/remote/dispatcher/state_purchase_view/17221382" ref="B951" r:id="rId1892"/>
    <hyperlink display="https://my.zakupki.prom.ua/remote/dispatcher/state_contracting_view/4524427" ref="D951" r:id="rId1893"/>
    <hyperlink display="https://my.zakupki.prom.ua/remote/dispatcher/state_purchase_view/17505883" ref="B952" r:id="rId1894"/>
    <hyperlink display="https://my.zakupki.prom.ua/remote/dispatcher/state_contracting_view/4655737" ref="D952" r:id="rId1895"/>
    <hyperlink display="https://my.zakupki.prom.ua/remote/dispatcher/state_purchase_view/21423439" ref="B953" r:id="rId1896"/>
    <hyperlink display="https://my.zakupki.prom.ua/remote/dispatcher/state_contracting_view/6505087" ref="D953" r:id="rId1897"/>
    <hyperlink display="https://my.zakupki.prom.ua/remote/dispatcher/state_purchase_view/22556040" ref="B954" r:id="rId1898"/>
    <hyperlink display="https://my.zakupki.prom.ua/remote/dispatcher/state_contracting_view/7044959" ref="D954" r:id="rId1899"/>
    <hyperlink display="https://my.zakupki.prom.ua/remote/dispatcher/state_purchase_view/22764120" ref="B955" r:id="rId1900"/>
    <hyperlink display="https://my.zakupki.prom.ua/remote/dispatcher/state_contracting_view/7146307" ref="D955" r:id="rId1901"/>
    <hyperlink display="https://my.zakupki.prom.ua/remote/dispatcher/state_purchase_view/22772037" ref="B956" r:id="rId1902"/>
    <hyperlink display="https://my.zakupki.prom.ua/remote/dispatcher/state_contracting_view/7149685" ref="D956" r:id="rId1903"/>
    <hyperlink display="https://my.zakupki.prom.ua/remote/dispatcher/state_purchase_view/15099447" ref="B957" r:id="rId1904"/>
    <hyperlink display="https://my.zakupki.prom.ua/remote/dispatcher/state_contracting_view/3753024" ref="D957" r:id="rId1905"/>
    <hyperlink display="https://my.zakupki.prom.ua/remote/dispatcher/state_purchase_view/14967146" ref="B958" r:id="rId1906"/>
    <hyperlink display="https://my.zakupki.prom.ua/remote/dispatcher/state_contracting_view/3720797" ref="D958" r:id="rId1907"/>
    <hyperlink display="https://my.zakupki.prom.ua/remote/dispatcher/state_purchase_view/14849133" ref="B959" r:id="rId1908"/>
    <hyperlink display="https://my.zakupki.prom.ua/remote/dispatcher/state_contracting_view/3692091" ref="D959" r:id="rId1909"/>
    <hyperlink display="https://my.zakupki.prom.ua/remote/dispatcher/state_purchase_view/15888740" ref="B960" r:id="rId1910"/>
    <hyperlink display="https://my.zakupki.prom.ua/remote/dispatcher/state_contracting_view/3977403" ref="D960" r:id="rId1911"/>
    <hyperlink display="https://my.zakupki.prom.ua/remote/dispatcher/state_purchase_view/16005698" ref="B961" r:id="rId1912"/>
    <hyperlink display="https://my.zakupki.prom.ua/remote/dispatcher/state_contracting_view/4017021" ref="D961" r:id="rId1913"/>
    <hyperlink display="https://my.zakupki.prom.ua/remote/dispatcher/state_purchase_view/16179823" ref="B962" r:id="rId1914"/>
    <hyperlink display="https://my.zakupki.prom.ua/remote/dispatcher/state_contracting_view/4078032" ref="D962" r:id="rId1915"/>
    <hyperlink display="https://my.zakupki.prom.ua/remote/dispatcher/state_purchase_view/18789346" ref="B963" r:id="rId1916"/>
    <hyperlink display="https://my.zakupki.prom.ua/remote/dispatcher/state_contracting_view/5256724" ref="D963" r:id="rId1917"/>
    <hyperlink display="https://my.zakupki.prom.ua/remote/dispatcher/state_purchase_view/19114686" ref="B964" r:id="rId1918"/>
    <hyperlink display="https://my.zakupki.prom.ua/remote/dispatcher/state_contracting_view/5410656" ref="D964" r:id="rId1919"/>
    <hyperlink display="https://my.zakupki.prom.ua/remote/dispatcher/state_purchase_view/18931126" ref="B965" r:id="rId1920"/>
    <hyperlink display="https://my.zakupki.prom.ua/remote/dispatcher/state_contracting_view/5323863" ref="D965" r:id="rId1921"/>
    <hyperlink display="https://my.zakupki.prom.ua/remote/dispatcher/state_purchase_view/18647001" ref="B966" r:id="rId1922"/>
    <hyperlink display="https://my.zakupki.prom.ua/remote/dispatcher/state_contracting_view/5187730" ref="D966" r:id="rId1923"/>
    <hyperlink display="https://my.zakupki.prom.ua/remote/dispatcher/state_purchase_view/18849372" ref="B967" r:id="rId1924"/>
    <hyperlink display="https://my.zakupki.prom.ua/remote/dispatcher/state_contracting_view/5285638" ref="D967" r:id="rId1925"/>
    <hyperlink display="https://my.zakupki.prom.ua/remote/dispatcher/state_purchase_view/19694442" ref="B968" r:id="rId1926"/>
    <hyperlink display="https://my.zakupki.prom.ua/remote/dispatcher/state_contracting_view/5685423" ref="D968" r:id="rId1927"/>
    <hyperlink display="https://my.zakupki.prom.ua/remote/dispatcher/state_purchase_view/18050563" ref="B969" r:id="rId1928"/>
    <hyperlink display="https://my.zakupki.prom.ua/remote/dispatcher/state_contracting_view/4909560" ref="D969" r:id="rId1929"/>
    <hyperlink display="https://my.zakupki.prom.ua/remote/dispatcher/state_purchase_view/18122247" ref="B970" r:id="rId1930"/>
    <hyperlink display="https://my.zakupki.prom.ua/remote/dispatcher/state_contracting_view/4943674" ref="D970" r:id="rId1931"/>
    <hyperlink display="https://my.zakupki.prom.ua/remote/dispatcher/state_purchase_view/18315574" ref="B971" r:id="rId1932"/>
    <hyperlink display="https://my.zakupki.prom.ua/remote/dispatcher/state_contracting_view/5032244" ref="D971" r:id="rId1933"/>
    <hyperlink display="https://my.zakupki.prom.ua/remote/dispatcher/state_purchase_view/18421336" ref="B972" r:id="rId1934"/>
    <hyperlink display="https://my.zakupki.prom.ua/remote/dispatcher/state_contracting_view/5081754" ref="D972" r:id="rId1935"/>
    <hyperlink display="https://my.zakupki.prom.ua/remote/dispatcher/state_purchase_view/18422503" ref="B973" r:id="rId1936"/>
    <hyperlink display="https://my.zakupki.prom.ua/remote/dispatcher/state_contracting_view/5082439" ref="D973" r:id="rId1937"/>
    <hyperlink display="https://my.zakupki.prom.ua/remote/dispatcher/state_purchase_view/18335868" ref="B974" r:id="rId1938"/>
    <hyperlink display="https://my.zakupki.prom.ua/remote/dispatcher/state_contracting_view/5041951" ref="D974" r:id="rId1939"/>
    <hyperlink display="https://my.zakupki.prom.ua/remote/dispatcher/state_purchase_view/18257641" ref="B975" r:id="rId1940"/>
    <hyperlink display="https://my.zakupki.prom.ua/remote/dispatcher/state_contracting_view/5005522" ref="D975" r:id="rId1941"/>
    <hyperlink display="https://my.zakupki.prom.ua/remote/dispatcher/state_purchase_view/18652623" ref="B976" r:id="rId1942"/>
    <hyperlink display="https://my.zakupki.prom.ua/remote/dispatcher/state_contracting_view/5190332" ref="D976" r:id="rId1943"/>
    <hyperlink display="https://my.zakupki.prom.ua/remote/dispatcher/state_purchase_view/16507801" ref="B977" r:id="rId1944"/>
    <hyperlink display="https://my.zakupki.prom.ua/remote/dispatcher/state_contracting_view/4205068" ref="D977" r:id="rId1945"/>
    <hyperlink display="https://my.zakupki.prom.ua/remote/dispatcher/state_purchase_view/16458690" ref="B978" r:id="rId1946"/>
    <hyperlink display="https://my.zakupki.prom.ua/remote/dispatcher/state_contracting_view/4182646" ref="D978" r:id="rId1947"/>
    <hyperlink display="https://my.zakupki.prom.ua/remote/dispatcher/state_purchase_view/17652903" ref="B979" r:id="rId1948"/>
    <hyperlink display="https://my.zakupki.prom.ua/remote/dispatcher/state_contracting_view/4724355" ref="D979" r:id="rId1949"/>
    <hyperlink display="https://my.zakupki.prom.ua/remote/dispatcher/state_purchase_view/17769972" ref="B980" r:id="rId1950"/>
    <hyperlink display="https://my.zakupki.prom.ua/remote/dispatcher/state_contracting_view/4778580" ref="D980" r:id="rId1951"/>
    <hyperlink display="https://my.zakupki.prom.ua/remote/dispatcher/state_purchase_view/17489001" ref="B981" r:id="rId1952"/>
    <hyperlink display="https://my.zakupki.prom.ua/remote/dispatcher/state_contracting_view/4647921" ref="D981" r:id="rId1953"/>
    <hyperlink display="https://my.zakupki.prom.ua/remote/dispatcher/state_purchase_view/17458968" ref="B982" r:id="rId1954"/>
    <hyperlink display="https://my.zakupki.prom.ua/remote/dispatcher/state_contracting_view/4635303" ref="D982" r:id="rId1955"/>
    <hyperlink display="https://my.zakupki.prom.ua/remote/dispatcher/state_purchase_view/17542969" ref="B983" r:id="rId1956"/>
    <hyperlink display="https://my.zakupki.prom.ua/remote/dispatcher/state_contracting_view/4675622" ref="D983" r:id="rId1957"/>
    <hyperlink display="https://my.zakupki.prom.ua/remote/dispatcher/state_purchase_view/17968573" ref="B984" r:id="rId1958"/>
    <hyperlink display="https://my.zakupki.prom.ua/remote/dispatcher/state_contracting_view/4870749" ref="D984" r:id="rId1959"/>
    <hyperlink display="https://my.zakupki.prom.ua/remote/dispatcher/state_purchase_view/17965428" ref="B985" r:id="rId1960"/>
    <hyperlink display="https://my.zakupki.prom.ua/remote/dispatcher/state_contracting_view/4869145" ref="D985" r:id="rId1961"/>
    <hyperlink display="https://my.zakupki.prom.ua/remote/dispatcher/state_purchase_view/18130911" ref="B986" r:id="rId1962"/>
    <hyperlink display="https://my.zakupki.prom.ua/remote/dispatcher/state_contracting_view/4947260" ref="D986" r:id="rId1963"/>
    <hyperlink display="https://my.zakupki.prom.ua/remote/dispatcher/state_purchase_view/17576326" ref="B987" r:id="rId1964"/>
    <hyperlink display="https://my.zakupki.prom.ua/remote/dispatcher/state_contracting_view/4688739" ref="D987" r:id="rId1965"/>
    <hyperlink display="https://my.zakupki.prom.ua/remote/dispatcher/state_purchase_view/19883883" ref="B988" r:id="rId1966"/>
    <hyperlink display="https://my.zakupki.prom.ua/remote/dispatcher/state_contracting_view/5773093" ref="D988" r:id="rId1967"/>
    <hyperlink display="https://my.zakupki.prom.ua/remote/dispatcher/state_purchase_view/19888114" ref="B989" r:id="rId1968"/>
    <hyperlink display="https://my.zakupki.prom.ua/remote/dispatcher/state_contracting_view/5775067" ref="D989" r:id="rId1969"/>
    <hyperlink display="https://my.zakupki.prom.ua/remote/dispatcher/state_purchase_view/20114100" ref="B990" r:id="rId1970"/>
    <hyperlink display="https://my.zakupki.prom.ua/remote/dispatcher/state_contracting_view/5882032" ref="D990" r:id="rId1971"/>
    <hyperlink display="https://my.zakupki.prom.ua/remote/dispatcher/state_purchase_view/19318234" ref="B991" r:id="rId1972"/>
    <hyperlink display="https://my.zakupki.prom.ua/remote/dispatcher/state_contracting_view/5929062" ref="D991" r:id="rId1973"/>
    <hyperlink display="https://my.zakupki.prom.ua/remote/dispatcher/state_purchase_view/20428458" ref="B992" r:id="rId1974"/>
    <hyperlink display="https://my.zakupki.prom.ua/remote/dispatcher/state_contracting_view/6034235" ref="D992" r:id="rId1975"/>
    <hyperlink display="https://my.zakupki.prom.ua/remote/dispatcher/state_purchase_view/20429586" ref="B993" r:id="rId1976"/>
    <hyperlink display="https://my.zakupki.prom.ua/remote/dispatcher/state_contracting_view/6034446" ref="D993" r:id="rId1977"/>
    <hyperlink display="https://my.zakupki.prom.ua/remote/dispatcher/state_purchase_view/18993120" ref="B994" r:id="rId1978"/>
    <hyperlink display="https://my.zakupki.prom.ua/remote/dispatcher/state_contracting_view/5353102" ref="D994" r:id="rId1979"/>
    <hyperlink display="https://my.zakupki.prom.ua/remote/dispatcher/state_purchase_view/18982254" ref="B995" r:id="rId1980"/>
    <hyperlink display="https://my.zakupki.prom.ua/remote/dispatcher/state_contracting_view/5347541" ref="D995" r:id="rId1981"/>
    <hyperlink display="https://my.zakupki.prom.ua/remote/dispatcher/state_purchase_view/19269163" ref="B996" r:id="rId1982"/>
    <hyperlink display="https://my.zakupki.prom.ua/remote/dispatcher/state_contracting_view/5483667" ref="D996" r:id="rId1983"/>
    <hyperlink display="https://my.zakupki.prom.ua/remote/dispatcher/state_purchase_view/19240694" ref="B997" r:id="rId1984"/>
    <hyperlink display="https://my.zakupki.prom.ua/remote/dispatcher/state_contracting_view/5469953" ref="D997" r:id="rId1985"/>
    <hyperlink display="https://my.zakupki.prom.ua/remote/dispatcher/state_purchase_view/16572675" ref="B998" r:id="rId1986"/>
    <hyperlink display="https://my.zakupki.prom.ua/remote/dispatcher/state_contracting_view/4233113" ref="D998" r:id="rId1987"/>
    <hyperlink display="https://my.zakupki.prom.ua/remote/dispatcher/state_purchase_view/20878381" ref="B999" r:id="rId1988"/>
    <hyperlink display="https://my.zakupki.prom.ua/remote/dispatcher/state_contracting_view/6250174" ref="D999" r:id="rId1989"/>
    <hyperlink display="https://my.zakupki.prom.ua/remote/dispatcher/state_purchase_view/20982037" ref="B1000" r:id="rId1990"/>
    <hyperlink display="https://my.zakupki.prom.ua/remote/dispatcher/state_contracting_view/6299499" ref="D1000" r:id="rId1991"/>
    <hyperlink display="https://my.zakupki.prom.ua/remote/dispatcher/state_purchase_view/20983166" ref="B1001" r:id="rId1992"/>
    <hyperlink display="https://my.zakupki.prom.ua/remote/dispatcher/state_contracting_view/6300231" ref="D1001" r:id="rId1993"/>
    <hyperlink display="https://my.zakupki.prom.ua/remote/dispatcher/state_purchase_view/20575897" ref="B1002" r:id="rId1994"/>
    <hyperlink display="https://my.zakupki.prom.ua/remote/dispatcher/state_contracting_view/6107447" ref="D1002" r:id="rId1995"/>
    <hyperlink display="https://my.zakupki.prom.ua/remote/dispatcher/state_purchase_view/20741352" ref="B1003" r:id="rId1996"/>
    <hyperlink display="https://my.zakupki.prom.ua/remote/dispatcher/state_contracting_view/6184613" ref="D1003" r:id="rId1997"/>
    <hyperlink display="https://my.zakupki.prom.ua/remote/dispatcher/state_purchase_view/21327858" ref="B1004" r:id="rId1998"/>
    <hyperlink display="https://my.zakupki.prom.ua/remote/dispatcher/state_contracting_view/6459658" ref="D1004" r:id="rId1999"/>
    <hyperlink display="https://my.zakupki.prom.ua/remote/dispatcher/state_purchase_view/21520122" ref="B1005" r:id="rId2000"/>
    <hyperlink display="https://my.zakupki.prom.ua/remote/dispatcher/state_contracting_view/6550274" ref="D1005" r:id="rId2001"/>
  </hyperlinks>
  <pageMargins left="0.75" right="0.75" top="1" bottom="1" header="0.5" footer="0.5"/>
</worksheet>
</file>

<file path=docProps/app.xml><?xml version="1.0" encoding="utf-8"?>
<ns0:Properties xmlns:ns0="http://schemas.openxmlformats.org/officeDocument/2006/extended-properties">
  <ns0:Application>Microsoft Excel</ns0:Application>
  <ns0:DocSecurity>0</ns0:DocSecurity>
  <ns0:ScaleCrop>false</ns0:ScaleCrop>
  <ns0:Company/>
  <ns0:LinksUpToDate>false</ns0:LinksUpToDate>
  <ns0:SharedDoc>false</ns0:SharedDoc>
  <ns0:HyperlinksChanged>false</ns0:HyperlinksChanged>
  <ns0:AppVersion>12.0000</ns0:AppVersion>
  <ns0:HeadingPairs>
    <vt:vector xmlns:vt="http://schemas.openxmlformats.org/officeDocument/2006/docPropsVTypes" size="2" baseType="variant">
      <vt:variant>
        <vt:lpstr>Worksheets</vt:lpstr>
      </vt:variant>
      <vt:variant>
        <vt:i4>1</vt:i4>
      </vt:variant>
    </vt:vector>
  </ns0:HeadingPairs>
  <ns0:TitlesOfParts>
    <vt:vector xmlns:vt="http://schemas.openxmlformats.org/officeDocument/2006/docPropsVTypes" size="1" baseType="lpstr">
      <vt:lpstr>Sheet</vt:lpstr>
    </vt:vector>
  </ns0:TitlesOfParts>
</ns0:Properties>
</file>

<file path=docProps/core.xml><?xml version="1.0" encoding="utf-8"?>
<cp:coreProperties xmlns:cp="http://schemas.openxmlformats.org/package/2006/metadata/core-properties">
  <dc:creator xmlns:dc="http://purl.org/dc/elements/1.1/">Unknown</dc:creator>
  <cp:lastModifiedBy>Unknown</cp:lastModifiedBy>
  <dcterms:created xmlns:dcterms="http://purl.org/dc/terms/" xmlns:xsi="http://www.w3.org/2001/XMLSchema-instance" xsi:type="dcterms:W3CDTF">2023-03-23T15:56:15Z</dcterms:created>
  <dcterms:modified xmlns:dcterms="http://purl.org/dc/terms/" xmlns:xsi="http://www.w3.org/2001/XMLSchema-instance" xsi:type="dcterms:W3CDTF">2023-03-23T15:56:15Z</dcterms:modified>
  <dc:title xmlns:dc="http://purl.org/dc/elements/1.1/">Untitled</dc:title>
  <dc:description xmlns:dc="http://purl.org/dc/elements/1.1/"/>
  <dc:subject xmlns:dc="http://purl.org/dc/elements/1.1/"/>
  <cp:keywords/>
  <cp:category/>
</cp:coreProperties>
</file>