
<file path=[Content_Types].xml><?xml version="1.0" encoding="utf-8"?>
<Types xmlns="http://schemas.openxmlformats.org/package/2006/content-types">
  <Override ContentType="application/vnd.openxmlformats-officedocument.theme+xml" PartName="/xl/theme/theme1.xml"/>
  <Override ContentType="application/vnd.openxmlformats-officedocument.spreadsheetml.styles+xml" PartName="/xl/styles.xml"/>
  <Default ContentType="application/vnd.openxmlformats-package.relationships+xml" Extension="rels"/>
  <Default ContentType="application/xml" Extension="xml"/>
  <Default ContentType="image/png" Extension="png"/>
  <Default ContentType="application/vnd.openxmlformats-officedocument.vmlDrawing" Extension="vml"/>
  <Override ContentType="application/vnd.openxmlformats-officedocument.spreadsheetml.sheet.main+xml" PartName="/xl/workbook.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PartName="/xl/worksheets/sheet1.xml" ContentType="application/vnd.openxmlformats-officedocument.spreadsheetml.worksheet+xml"/>
</Types>
</file>

<file path=_rels/.rels><ns0:Relationships xmlns:ns0="http://schemas.openxmlformats.org/package/2006/relationships">
  <ns0:Relationship Id="rId1" Target="xl/workbook.xml" Type="http://schemas.openxmlformats.org/officeDocument/2006/relationships/officeDocument"/>
  <ns0:Relationship Id="rId2" Target="docProps/core.xml" Type="http://schemas.openxmlformats.org/package/2006/relationships/metadata/core-properties"/>
  <ns0:Relationship Id="rId3" Target="docProps/app.xml" Type="http://schemas.openxmlformats.org/officeDocument/2006/relationships/extended-properties"/>
</ns0:Relationships>

</file>

<file path=xl/workbook.xml><?xml version="1.0" encoding="utf-8"?>
<s:workbook xmlns:s="http://schemas.openxmlformats.org/spreadsheetml/2006/main">
  <s:fileVersion appName="xl" lastEdited="4" lowestEdited="4" rupBuild="4505"/>
  <s:workbookPr defaultThemeVersion="124226" codeName="ThisWorkbook"/>
  <s:bookViews>
    <s:workbookView activeTab="0" autoFilterDateGrouping="1" firstSheet="0" minimized="0" showHorizontalScroll="1" showSheetTabs="1" showVerticalScroll="1" tabRatio="600" visibility="visible"/>
  </s:bookViews>
  <s:sheets>
    <s:sheet xmlns:r="http://schemas.openxmlformats.org/officeDocument/2006/relationships" name="Sheet" sheetId="1" r:id="rId1"/>
  </s:sheets>
  <s:definedNames>
    <s:definedName name="_xlnm._FilterDatabase" localSheetId="0" hidden="1">'Sheet'!$A$4:$P$766</s:definedName>
  </s:definedNames>
  <s:calcPr calcId="124519" calcMode="auto" fullCalcOnLoad="1"/>
</s:workbook>
</file>

<file path=xl/sharedStrings.xml><?xml version="1.0" encoding="utf-8"?>
<sst xmlns="http://schemas.openxmlformats.org/spreadsheetml/2006/main" uniqueCount="3296">
  <si>
    <t xml:space="preserve"> Е-журнал Головбух: Медицина(надання права на використання) 12 міс.,; Е-журнал Управління закладом охорони здоров'я( надання права на використання) 12 міс.</t>
  </si>
  <si>
    <t xml:space="preserve"> Код ДК 021:2015-33630000-5 Лікарські засоби для лікування дерматологічних захворювань та захворювань опорно-рухового апарату (Код ДК 021:2015-33631600-8 - Антисептичні та дезінфекційні засоби (Sviteco-PIP Daily Sanitary Cleaner (500мл) дезінфекційний засіб з Пробіотиками, Sviteco-PIP Daily Sanitary Cleaner (5л) дезінфекційний засіб з Пробіотиками, Sviteco - PIP Ultra (500мл) дезінфекційний засіб з Пробіотиками))</t>
  </si>
  <si>
    <t xml:space="preserve"> Монітор пацієнта (НК 024:2019  – 33586 Система моніторингу фізіологічних показників одного пацієнта))</t>
  </si>
  <si>
    <t>001/09-4/449/22</t>
  </si>
  <si>
    <t>00131587</t>
  </si>
  <si>
    <t>0023a8cb16c84a9e90b11605985e6b38</t>
  </si>
  <si>
    <t>01/1/205/22</t>
  </si>
  <si>
    <t>01/10/638/22</t>
  </si>
  <si>
    <t>01/22/313/22</t>
  </si>
  <si>
    <t>01/9/639/22</t>
  </si>
  <si>
    <t>0117dfb1f61a442f836dcad76f6f8e6a</t>
  </si>
  <si>
    <t>013db30de42a4f25ada20107e09ca676</t>
  </si>
  <si>
    <t>015f4c2941694439a128cd23f1044102</t>
  </si>
  <si>
    <t>016a4ca27d324c55844d597974aad642</t>
  </si>
  <si>
    <t>01896702</t>
  </si>
  <si>
    <t>019/22</t>
  </si>
  <si>
    <t>0194ee5720264560ba240c550c393b4b</t>
  </si>
  <si>
    <t>01996711</t>
  </si>
  <si>
    <t>01996757</t>
  </si>
  <si>
    <t>01998147</t>
  </si>
  <si>
    <t>01a4b88f77404cbd8b16f4f959e00092</t>
  </si>
  <si>
    <t>02010793</t>
  </si>
  <si>
    <t>02402dfba57b42d18563e500e2270893</t>
  </si>
  <si>
    <t>02568319</t>
  </si>
  <si>
    <t>0297/454/22</t>
  </si>
  <si>
    <t>0298/455/22</t>
  </si>
  <si>
    <t>02b34afcc5d04ed5a893fa622ee20b29</t>
  </si>
  <si>
    <t>03140000-4 Продукція тваринництва та супутня продукція</t>
  </si>
  <si>
    <t>03200000-3 Зернові культури, картопля, овочі, фрукти та горіхи</t>
  </si>
  <si>
    <t>03220000-9 Овочі, фрукти та горіхи</t>
  </si>
  <si>
    <t>03348910</t>
  </si>
  <si>
    <t>03348933</t>
  </si>
  <si>
    <t>03349039</t>
  </si>
  <si>
    <t>03450000-9 Розсадницька продукція</t>
  </si>
  <si>
    <t>034597d8c5ee4a7f8974e2f33daf22d0</t>
  </si>
  <si>
    <t>03b96895a7d54bbf8d3940cf17f50e69</t>
  </si>
  <si>
    <t>03c7943332ca45d08563d89b863cdcaf</t>
  </si>
  <si>
    <t>04-13/286/497/22</t>
  </si>
  <si>
    <t>041fcf94bea84ec09b3f6dc77f9527d2</t>
  </si>
  <si>
    <t>044c2c024242454fabcad8e6738fd90f</t>
  </si>
  <si>
    <t>04725912</t>
  </si>
  <si>
    <t>04803492</t>
  </si>
  <si>
    <t>049000aeade14955bdff99b40a264e85</t>
  </si>
  <si>
    <t>05/7/280/22</t>
  </si>
  <si>
    <t>0574b6505cbe4856ba9dcd7a5ec05447</t>
  </si>
  <si>
    <t>05761873</t>
  </si>
  <si>
    <t>05c4f69d9b594b1db65908c5498acbbe</t>
  </si>
  <si>
    <t>06/1/304/22</t>
  </si>
  <si>
    <t>06/21/72/22</t>
  </si>
  <si>
    <t>06017245ab464d539cecb826f427b4db</t>
  </si>
  <si>
    <t>0628fd4f2ef548f69ade5d693468cb14</t>
  </si>
  <si>
    <t>067b161b59e7436592fd42be8b8e278d</t>
  </si>
  <si>
    <t>07/02-2022/65/22</t>
  </si>
  <si>
    <t>07/03/408/22</t>
  </si>
  <si>
    <t>07/21/73/22</t>
  </si>
  <si>
    <t>078f8cbde404447f9d5c8d8a9df52ebb</t>
  </si>
  <si>
    <t>07a5fd4b604e40a8bf018a499e9f6bd8</t>
  </si>
  <si>
    <t>07ae4cd84a874e29b8832966500e0933</t>
  </si>
  <si>
    <t>07b3d4c1afb44c6d8eb746dec663c9c3</t>
  </si>
  <si>
    <t>07bd954aab4d4d6191973658036f5c43</t>
  </si>
  <si>
    <t>08.06.2022Д/312/22</t>
  </si>
  <si>
    <t>08276b7c4be047a49ab5dd5105c2b3ce</t>
  </si>
  <si>
    <t>08dc812ee4fd4a4eb9f312f48dc96f60</t>
  </si>
  <si>
    <t>08fb5319866640da9edae6d61a6da4b0</t>
  </si>
  <si>
    <t>09/01-ІЕ/35/22</t>
  </si>
  <si>
    <t>09/12/2022/713/22</t>
  </si>
  <si>
    <t>09/2/543/22</t>
  </si>
  <si>
    <t>09120000-6 Газове паливо</t>
  </si>
  <si>
    <t>09130000-9 Нафта і дистиляти</t>
  </si>
  <si>
    <t>09210000-4 Мастильні засоби</t>
  </si>
  <si>
    <t>092152412f944541993c014ee25dabf5</t>
  </si>
  <si>
    <t>09310000-5 Електрична енергія</t>
  </si>
  <si>
    <t>09320000-8 Пара, гаряча вода та пов’язана продукція</t>
  </si>
  <si>
    <t>09f12c72ad06438aaa5249d3eaf0523c</t>
  </si>
  <si>
    <t>0b40c97b5edf468aaf59b483f2e19da4</t>
  </si>
  <si>
    <t>0b6b9d2342ae4e58824b2bd3850262a5</t>
  </si>
  <si>
    <t>0c5fb3699b614321a31f64ddfd924a1a</t>
  </si>
  <si>
    <t>0c8fc6f735064ba686ddac9e8e3a8560</t>
  </si>
  <si>
    <t>0c9523f0c83047688c759238155af8fa</t>
  </si>
  <si>
    <t>0d00c6bc187344bfa0ceac0fe3cf59ea</t>
  </si>
  <si>
    <t>0d8a141dcb1445dabec65ecdbc84eb7d</t>
  </si>
  <si>
    <t>0d9ab713bf27486db75e9ecb12f612ae</t>
  </si>
  <si>
    <t>0e08f0422ca04fbaa53584b3c551b9c6</t>
  </si>
  <si>
    <t>0e18834bf1d643e3a5a6011bda87ef4b</t>
  </si>
  <si>
    <t>0e2331f06a3343cda39c9682d6e6ec07</t>
  </si>
  <si>
    <t>0ed2ab1e3d2f43198d9b0abfae85c639</t>
  </si>
  <si>
    <t>0eef50019a5d459c9401b300139dd36f</t>
  </si>
  <si>
    <t>0f0ae07c0ca940bbacd5c7f8f18b5a35</t>
  </si>
  <si>
    <t>0f44b133ab2d4b57953ca4fe71c87aad</t>
  </si>
  <si>
    <t>0f7fa7dc70424f24b45ad3ddead34b54</t>
  </si>
  <si>
    <t>0fb5fa6e85c346f1b17a5d64137e8345</t>
  </si>
  <si>
    <t>0fefb89f1c134bb4aeb316fa4a8ce698</t>
  </si>
  <si>
    <t>1/06/487/22</t>
  </si>
  <si>
    <t>1/30/22</t>
  </si>
  <si>
    <t>1/34/22</t>
  </si>
  <si>
    <t>1/84/22</t>
  </si>
  <si>
    <t>1/О/31/22</t>
  </si>
  <si>
    <t>1/Т/4/22</t>
  </si>
  <si>
    <t>10/22</t>
  </si>
  <si>
    <t>100/22</t>
  </si>
  <si>
    <t>100e130128e244fd8c330bedbbc0e89e</t>
  </si>
  <si>
    <t>101/22</t>
  </si>
  <si>
    <t>102/22</t>
  </si>
  <si>
    <t>103/22</t>
  </si>
  <si>
    <t>104/22</t>
  </si>
  <si>
    <t>105/210/22</t>
  </si>
  <si>
    <t>105/22</t>
  </si>
  <si>
    <t>106/211/22</t>
  </si>
  <si>
    <t>107294f818e64018a4d1d8e3f8b7adb2</t>
  </si>
  <si>
    <t>108/22</t>
  </si>
  <si>
    <t>11/16/22</t>
  </si>
  <si>
    <t>110/22</t>
  </si>
  <si>
    <t>112/283/22</t>
  </si>
  <si>
    <t>113/22</t>
  </si>
  <si>
    <t>116/22</t>
  </si>
  <si>
    <t>1165ae72eec04339bca67ee51e9d3f71</t>
  </si>
  <si>
    <t>1172-11-12/251/22</t>
  </si>
  <si>
    <t>1173-14/252/22</t>
  </si>
  <si>
    <t>1174-14/253/22</t>
  </si>
  <si>
    <t>118/22</t>
  </si>
  <si>
    <t>11f2db5a143949d6aa1d2292dba35629</t>
  </si>
  <si>
    <t>12-1669/21-БО-Т/22/22</t>
  </si>
  <si>
    <t>12-2669/22-БО-Т/631/22</t>
  </si>
  <si>
    <t>12/168/22</t>
  </si>
  <si>
    <t>12/17/22</t>
  </si>
  <si>
    <t>12/22</t>
  </si>
  <si>
    <t>12/87/22</t>
  </si>
  <si>
    <t>120/22-ЛВ/95/22</t>
  </si>
  <si>
    <t>12036dfeaef244ceb3e787a98c23771c</t>
  </si>
  <si>
    <t>1206-18/339/22</t>
  </si>
  <si>
    <t>121/22</t>
  </si>
  <si>
    <t>122/22</t>
  </si>
  <si>
    <t>124/22</t>
  </si>
  <si>
    <t>125/22</t>
  </si>
  <si>
    <t>126/22</t>
  </si>
  <si>
    <t>127/22</t>
  </si>
  <si>
    <t>127/96/22</t>
  </si>
  <si>
    <t>127164c6393d4e9db5e9843444f5dc56</t>
  </si>
  <si>
    <t>128/22</t>
  </si>
  <si>
    <t>129/22</t>
  </si>
  <si>
    <t>13/22</t>
  </si>
  <si>
    <t>130/22</t>
  </si>
  <si>
    <t>131/22</t>
  </si>
  <si>
    <t>13103/600/22</t>
  </si>
  <si>
    <t>132/22</t>
  </si>
  <si>
    <t>133/22</t>
  </si>
  <si>
    <t>1338/22/761/22</t>
  </si>
  <si>
    <t>135/22</t>
  </si>
  <si>
    <t>137/22</t>
  </si>
  <si>
    <t>138/22</t>
  </si>
  <si>
    <t>138/324/22</t>
  </si>
  <si>
    <t>13821460</t>
  </si>
  <si>
    <t>14/166/22</t>
  </si>
  <si>
    <t>14/286/22</t>
  </si>
  <si>
    <t>14/690/22</t>
  </si>
  <si>
    <t>142/22</t>
  </si>
  <si>
    <t>14210000-6 Гравій, пісок, щебінь і наповнювачі</t>
  </si>
  <si>
    <t>143/22</t>
  </si>
  <si>
    <t>14372923</t>
  </si>
  <si>
    <t>144/22</t>
  </si>
  <si>
    <t>14410000-8 Кам’яна сіль</t>
  </si>
  <si>
    <t>145/22</t>
  </si>
  <si>
    <t>147/22-РБК/400/22</t>
  </si>
  <si>
    <t>1477f6d448004cc5b3a08ea48c31ace8</t>
  </si>
  <si>
    <t>148/22</t>
  </si>
  <si>
    <t>148/22-РБК/337/22</t>
  </si>
  <si>
    <t>14810000-2 Абразивні вироби</t>
  </si>
  <si>
    <t>14811300-2 - Круги обрізні(Круг обрізний по металу 125)</t>
  </si>
  <si>
    <t>14830000-8 Скловолокно</t>
  </si>
  <si>
    <t>14e33617ca774b88b01b41d235170f13</t>
  </si>
  <si>
    <t>14eeea823c3a49d48741dacfbf561908</t>
  </si>
  <si>
    <t>15-22-ТО/1/22</t>
  </si>
  <si>
    <t>15/167/22</t>
  </si>
  <si>
    <t>15/2022/643/22</t>
  </si>
  <si>
    <t>150/22</t>
  </si>
  <si>
    <t>151/22</t>
  </si>
  <si>
    <t>15110000-2 М’ясо</t>
  </si>
  <si>
    <t>15130000-8 М’ясопродукти</t>
  </si>
  <si>
    <t>152/22</t>
  </si>
  <si>
    <t>15220000-6 Риба, рибне філе та інше м’ясо риби морожені</t>
  </si>
  <si>
    <t>15240000-2 Рибні консерви та інші рибні страви і пресерви</t>
  </si>
  <si>
    <t>153/22</t>
  </si>
  <si>
    <t>15310000-4 Картопля та картопляні вироби</t>
  </si>
  <si>
    <t>15330000-0 Оброблені фрукти та овочі</t>
  </si>
  <si>
    <t>154/22</t>
  </si>
  <si>
    <t>15410000-5 Сирі олії та тваринні і рослинні жири</t>
  </si>
  <si>
    <t>15510000-6 Молоко та вершки</t>
  </si>
  <si>
    <t>15530000-2 Вершкове масло</t>
  </si>
  <si>
    <t>15540000-5 Сирні продукти</t>
  </si>
  <si>
    <t>156/22</t>
  </si>
  <si>
    <t>15610000-7 Продукція борошномельно-круп'яної промисловості</t>
  </si>
  <si>
    <t>157/22</t>
  </si>
  <si>
    <t>1575/512/22</t>
  </si>
  <si>
    <t>158/22</t>
  </si>
  <si>
    <t>15810000-9 Хлібопродукти, свіжовипечені хлібобулочні та кондитерські вироби</t>
  </si>
  <si>
    <t>15820000-2 Сухарі та печиво; пресерви з хлібобулочних і кондитерських виробів</t>
  </si>
  <si>
    <t>15830000-5 Цукор і супутня продукція</t>
  </si>
  <si>
    <t>15850000-1 Макаронні вироби</t>
  </si>
  <si>
    <t>15860000-4 Кава, чай та супутня продукція</t>
  </si>
  <si>
    <t>15870000-7 Заправки та приправи</t>
  </si>
  <si>
    <t>159/22</t>
  </si>
  <si>
    <t>15cd99fe976b43799c0e245029f52687</t>
  </si>
  <si>
    <t>16/2/22</t>
  </si>
  <si>
    <t>16/285/22</t>
  </si>
  <si>
    <t>160/22</t>
  </si>
  <si>
    <t>161/22</t>
  </si>
  <si>
    <t>16160000-4 Садова техніка різна</t>
  </si>
  <si>
    <t>162/22</t>
  </si>
  <si>
    <t>163/22</t>
  </si>
  <si>
    <t>164/22</t>
  </si>
  <si>
    <t>1642198dd0f64be683861606b8fb7987</t>
  </si>
  <si>
    <t>165/22</t>
  </si>
  <si>
    <t>167/22-ЛВ/147/22</t>
  </si>
  <si>
    <t>168/22-ЛВ/155/22</t>
  </si>
  <si>
    <t>16810000-6 Частини для сільськогосподарської техніки</t>
  </si>
  <si>
    <t>169/22</t>
  </si>
  <si>
    <t>1696/м/623/22</t>
  </si>
  <si>
    <t>17/02-2022/117/22</t>
  </si>
  <si>
    <t>170/22</t>
  </si>
  <si>
    <t>170/22-ЛВ/149/22</t>
  </si>
  <si>
    <t>171/22</t>
  </si>
  <si>
    <t>171/384/22</t>
  </si>
  <si>
    <t>171/450/22</t>
  </si>
  <si>
    <t>1711111210</t>
  </si>
  <si>
    <t>172/22</t>
  </si>
  <si>
    <t>172/458/22</t>
  </si>
  <si>
    <t>173/22</t>
  </si>
  <si>
    <t>174/22</t>
  </si>
  <si>
    <t>175/22</t>
  </si>
  <si>
    <t>176/22</t>
  </si>
  <si>
    <t>177/22</t>
  </si>
  <si>
    <t>177/477/22</t>
  </si>
  <si>
    <t>178/22</t>
  </si>
  <si>
    <t>1784"ГКТ"/6/22</t>
  </si>
  <si>
    <t>1784"ГТ"/186/22</t>
  </si>
  <si>
    <t>1784/24/22</t>
  </si>
  <si>
    <t>1789863315</t>
  </si>
  <si>
    <t>179/22</t>
  </si>
  <si>
    <t>17a2d79e702641f8b9499823393b906f</t>
  </si>
  <si>
    <t>18/22</t>
  </si>
  <si>
    <t>18/369/22</t>
  </si>
  <si>
    <t>180/22</t>
  </si>
  <si>
    <t>180/22/2/22</t>
  </si>
  <si>
    <t>1806813a5cc1454990ef7c2efd20b819</t>
  </si>
  <si>
    <t>181/22</t>
  </si>
  <si>
    <t>18140000-2 Аксесуари до робочого одягу</t>
  </si>
  <si>
    <t>182/22</t>
  </si>
  <si>
    <t>183/22</t>
  </si>
  <si>
    <t>183/500/22</t>
  </si>
  <si>
    <t>184/22</t>
  </si>
  <si>
    <t>185/22</t>
  </si>
  <si>
    <t>1857702825ad4b9ba59f0fcf65670e77</t>
  </si>
  <si>
    <t>186/22-ЛВ/208/22</t>
  </si>
  <si>
    <t>187/22</t>
  </si>
  <si>
    <t>188/22</t>
  </si>
  <si>
    <t>188253726fcd4714b4b476f08d26152a</t>
  </si>
  <si>
    <t>189/22</t>
  </si>
  <si>
    <t>189/22-ЛВ/218/22</t>
  </si>
  <si>
    <t>18937000-6 Пакувальні мішки</t>
  </si>
  <si>
    <t>1897-18/484/22</t>
  </si>
  <si>
    <t>19/29/22</t>
  </si>
  <si>
    <t>190/22</t>
  </si>
  <si>
    <t>190/22-ЛВ/217/22</t>
  </si>
  <si>
    <t>1906820519</t>
  </si>
  <si>
    <t>1908802940</t>
  </si>
  <si>
    <t>191/22</t>
  </si>
  <si>
    <t>19163609</t>
  </si>
  <si>
    <t>192/22</t>
  </si>
  <si>
    <t>19270000-9 Неткані матеріали</t>
  </si>
  <si>
    <t>193/22</t>
  </si>
  <si>
    <t>193/530/22</t>
  </si>
  <si>
    <t>19430000-9 Пряжа та текстильні нитки з натуральних волокон</t>
  </si>
  <si>
    <t>195/22</t>
  </si>
  <si>
    <t>19520000-7 Пластмасові вироби</t>
  </si>
  <si>
    <t>19640000-4 Поліетиленові мішки та пакети для сміття</t>
  </si>
  <si>
    <t>197/22</t>
  </si>
  <si>
    <t>198/22</t>
  </si>
  <si>
    <t>1985324999</t>
  </si>
  <si>
    <t>199/22</t>
  </si>
  <si>
    <t>1a8980f088c748dfb2bb131aed29b4c7</t>
  </si>
  <si>
    <t>1a8bc88231d4444cb0f49864d4d04651</t>
  </si>
  <si>
    <t>1ab3cd3ddc77431dbab865773a8a0747</t>
  </si>
  <si>
    <t>1afa93f319384ef99b10a9a964971335</t>
  </si>
  <si>
    <t>1b113487598d4771a6195970fba90773</t>
  </si>
  <si>
    <t>1b8191b6761146929827d46430c7855a</t>
  </si>
  <si>
    <t>1b83bd0b7a1b4bf88521649930572982</t>
  </si>
  <si>
    <t>1bbd37b1fdfd4f9a8b4bc0c92d1a2d18</t>
  </si>
  <si>
    <t>1bfa4df30b8f4d7cbc3870dea98fbce0</t>
  </si>
  <si>
    <t>1c43e2689c2a4e7987ef883bb1cfce8e</t>
  </si>
  <si>
    <t>1c8b1f4c33784f2ea7d5811d5311fe7f</t>
  </si>
  <si>
    <t>1ca5073764384477bb98d666df62cc80</t>
  </si>
  <si>
    <t>1e17ec332c3341068eb27553a9c24495</t>
  </si>
  <si>
    <t>1e797bf33ab84ffab5366e083179c1bb</t>
  </si>
  <si>
    <t>1ee43f16b7f84ef89776d5edc01a6d2a</t>
  </si>
  <si>
    <t>1f40f3f10f7b4cc3862e562d706df6c2</t>
  </si>
  <si>
    <t>1f780bbc6a6543a19cc133866ba1c7a0</t>
  </si>
  <si>
    <t>1fecaa4285e947518b632524379e2437</t>
  </si>
  <si>
    <t>2 СПЕЦІАЛЬНИЙ  ЦЕНТР ШВИДКОГО РЕАГУВАННЯ ДЕРЖАВНОЇ СЛУЖБИ УКРАЇНИ З НАДЗВИЧАЙНИХ СИТУАЦІЙ</t>
  </si>
  <si>
    <t>2/06/488/22</t>
  </si>
  <si>
    <t>2/09/540/22</t>
  </si>
  <si>
    <t>2/216/22</t>
  </si>
  <si>
    <t>2/22/247/22</t>
  </si>
  <si>
    <t>2/78/22</t>
  </si>
  <si>
    <t>20/22</t>
  </si>
  <si>
    <t>200/22</t>
  </si>
  <si>
    <t>201/22</t>
  </si>
  <si>
    <t>2016723220</t>
  </si>
  <si>
    <t>202/22</t>
  </si>
  <si>
    <t>20220112-7034/15/22</t>
  </si>
  <si>
    <t>203/22</t>
  </si>
  <si>
    <t>203/569/22</t>
  </si>
  <si>
    <t>204/22</t>
  </si>
  <si>
    <t>206/22</t>
  </si>
  <si>
    <t>2069eaa05fa2469586b584ec6fe7b62c</t>
  </si>
  <si>
    <t>207/22</t>
  </si>
  <si>
    <t>20762344</t>
  </si>
  <si>
    <t>20763510</t>
  </si>
  <si>
    <t>20774790</t>
  </si>
  <si>
    <t>20794522</t>
  </si>
  <si>
    <t>20806124</t>
  </si>
  <si>
    <t>2082119568</t>
  </si>
  <si>
    <t>20851881</t>
  </si>
  <si>
    <t>2089d1018b7a48cd809dc04af9d36226</t>
  </si>
  <si>
    <t>209/22</t>
  </si>
  <si>
    <t>20cee3cdae344beeba1d71a37a883a43</t>
  </si>
  <si>
    <t>21/22</t>
  </si>
  <si>
    <t>210/603/22</t>
  </si>
  <si>
    <t>211/310/22</t>
  </si>
  <si>
    <t>211/601/22</t>
  </si>
  <si>
    <t>21163856/679/22</t>
  </si>
  <si>
    <t>212/22</t>
  </si>
  <si>
    <t>2127617173</t>
  </si>
  <si>
    <t>213/22</t>
  </si>
  <si>
    <t>2131721743</t>
  </si>
  <si>
    <t>214/22</t>
  </si>
  <si>
    <t>215/22</t>
  </si>
  <si>
    <t>21560766</t>
  </si>
  <si>
    <t>21633086</t>
  </si>
  <si>
    <t>2163718659</t>
  </si>
  <si>
    <t>2166616341</t>
  </si>
  <si>
    <t>216e067c1a2547e2b60a98333308fc01</t>
  </si>
  <si>
    <t>216f7b2b389242a78200c92e4c934a40</t>
  </si>
  <si>
    <t>2182908257</t>
  </si>
  <si>
    <t>21869802</t>
  </si>
  <si>
    <t>219/22</t>
  </si>
  <si>
    <t>21bbbf19132146acb493ed04cbecc158</t>
  </si>
  <si>
    <t>21f0342ea29342aaba751f07c136a459</t>
  </si>
  <si>
    <t>21f56d83fdf64accae28f75ad220d987</t>
  </si>
  <si>
    <t>22-130/63/22</t>
  </si>
  <si>
    <t>22/02/2022/120/22</t>
  </si>
  <si>
    <t>22/491/22</t>
  </si>
  <si>
    <t>22020756/71/22</t>
  </si>
  <si>
    <t>22024256/70/22</t>
  </si>
  <si>
    <t>22048956/223/22</t>
  </si>
  <si>
    <t>2209-1914/573/22</t>
  </si>
  <si>
    <t>2210-1915/606/22</t>
  </si>
  <si>
    <t>22151656/627/22</t>
  </si>
  <si>
    <t>22153756/637/22</t>
  </si>
  <si>
    <t>221561556/636/22</t>
  </si>
  <si>
    <t>2217453a42d149fc9fe9a04be90d9f9e</t>
  </si>
  <si>
    <t>22180b63e76e44a89128ce192f6d3613</t>
  </si>
  <si>
    <t>222/22</t>
  </si>
  <si>
    <t>22200000-2 Газети, періодичні спеціалізовані та інші періодичні видання і журнали</t>
  </si>
  <si>
    <t>22210000-5 Газети</t>
  </si>
  <si>
    <t>222d654a09454d2b84e95c456eed068d</t>
  </si>
  <si>
    <t>223/22-ЛВ/329/22</t>
  </si>
  <si>
    <t>22342913</t>
  </si>
  <si>
    <t>22372423</t>
  </si>
  <si>
    <t>22391e49d3914484bef5616c133c63a7</t>
  </si>
  <si>
    <t>224/22</t>
  </si>
  <si>
    <t>22450000-9 Друкована продукція з елементами захисту</t>
  </si>
  <si>
    <t>22460000-2 Рекламні матеріали, каталоги товарів та посібники</t>
  </si>
  <si>
    <t>225/22</t>
  </si>
  <si>
    <t>226/22</t>
  </si>
  <si>
    <t>227/22</t>
  </si>
  <si>
    <t>2276501319</t>
  </si>
  <si>
    <t>228/22</t>
  </si>
  <si>
    <t>22810000-1 Паперові чи картонні реєстраційні журнали</t>
  </si>
  <si>
    <t>22820000-4 Бланки</t>
  </si>
  <si>
    <t>22850000-3 Швидкозшивачі та супутнє приладдя</t>
  </si>
  <si>
    <t>229/22</t>
  </si>
  <si>
    <t>22990000-6 Газетний папір, папір ручного виготовлення та інший некрейдований папір або картон для графічних цілей</t>
  </si>
  <si>
    <t>23/22</t>
  </si>
  <si>
    <t>23/37/22</t>
  </si>
  <si>
    <t>230/22</t>
  </si>
  <si>
    <t>230be62ee9a746938761007133e0e918</t>
  </si>
  <si>
    <t>231/22</t>
  </si>
  <si>
    <t>232/22</t>
  </si>
  <si>
    <t>233/22</t>
  </si>
  <si>
    <t>2330a9a611264342a0cb502997195064</t>
  </si>
  <si>
    <t>234/22</t>
  </si>
  <si>
    <t>2344009534</t>
  </si>
  <si>
    <t>235/22</t>
  </si>
  <si>
    <t>236/22</t>
  </si>
  <si>
    <t>236/544/22</t>
  </si>
  <si>
    <t>237/22</t>
  </si>
  <si>
    <t>2373905946</t>
  </si>
  <si>
    <t>238/22</t>
  </si>
  <si>
    <t>23882505</t>
  </si>
  <si>
    <t>23889789</t>
  </si>
  <si>
    <t>239/22</t>
  </si>
  <si>
    <t>23990301</t>
  </si>
  <si>
    <t>24/22/517/22</t>
  </si>
  <si>
    <t>240/22</t>
  </si>
  <si>
    <t>240/22-ЛВ/377/22</t>
  </si>
  <si>
    <t>241/22</t>
  </si>
  <si>
    <t>24110000-8 Промислові гази</t>
  </si>
  <si>
    <t>242/22</t>
  </si>
  <si>
    <t>24200000-6 Барвники та пігменти</t>
  </si>
  <si>
    <t>24210000-9 Оксиди, пероксиди та гідроксиди</t>
  </si>
  <si>
    <t>243/22</t>
  </si>
  <si>
    <t>24320000-3 Основні органічні хімічні речовини</t>
  </si>
  <si>
    <t>244/22</t>
  </si>
  <si>
    <t>24450000-3 Агрохімічна продукція</t>
  </si>
  <si>
    <t>245/22</t>
  </si>
  <si>
    <t>245/22-ЛВ/406/22</t>
  </si>
  <si>
    <t>24590000-6 Силікони у первинній формі</t>
  </si>
  <si>
    <t>246/22</t>
  </si>
  <si>
    <t>2460400554</t>
  </si>
  <si>
    <t>2472a9c45d6e4b1b9f2920a4e58970c6</t>
  </si>
  <si>
    <t>248/22</t>
  </si>
  <si>
    <t>248/22-ЛВ/438/22</t>
  </si>
  <si>
    <t>2480209574</t>
  </si>
  <si>
    <t>249/22</t>
  </si>
  <si>
    <t>249/22-ЛВ/349/22</t>
  </si>
  <si>
    <t>24910000-6 Клеї</t>
  </si>
  <si>
    <t>24950000-8 Спеціалізована хімічна продукція</t>
  </si>
  <si>
    <t>24e66b2a67e641b6afb5bf039cb57ac7</t>
  </si>
  <si>
    <t>25/22</t>
  </si>
  <si>
    <t>25/54/22</t>
  </si>
  <si>
    <t>25/55/22</t>
  </si>
  <si>
    <t>250/22</t>
  </si>
  <si>
    <t>25163731ee5a4a6490c6edb1dd4f8b0a</t>
  </si>
  <si>
    <t>251c2a06fe494388b784ff32c0d86234</t>
  </si>
  <si>
    <t>253/659/22</t>
  </si>
  <si>
    <t>254/22</t>
  </si>
  <si>
    <t>254/660/22</t>
  </si>
  <si>
    <t>255/22</t>
  </si>
  <si>
    <t>25546929</t>
  </si>
  <si>
    <t>25600a4d58614de994a405ddb1f2f753</t>
  </si>
  <si>
    <t>258/22</t>
  </si>
  <si>
    <t>258/Г/Д/22/513/22</t>
  </si>
  <si>
    <t>259/22</t>
  </si>
  <si>
    <t>259/22-ЛВ/498/22</t>
  </si>
  <si>
    <t>2596c7de88be4d268ae05ffd4df53a72</t>
  </si>
  <si>
    <t>26/22</t>
  </si>
  <si>
    <t>260/22</t>
  </si>
  <si>
    <t>26094837bb3c4dbbbf47a8d6a20d11c0</t>
  </si>
  <si>
    <t>261/22</t>
  </si>
  <si>
    <t>2617ed3d847f4e629324ed4c89f130ea</t>
  </si>
  <si>
    <t>26181306</t>
  </si>
  <si>
    <t>262/22</t>
  </si>
  <si>
    <t>26288cbc60d440c2bc06a0ce8e5c9b58</t>
  </si>
  <si>
    <t>263/22</t>
  </si>
  <si>
    <t>263/22-РБК/452/22</t>
  </si>
  <si>
    <t>26379b9efb4b4e078a239bbaf477be87</t>
  </si>
  <si>
    <t>264/22</t>
  </si>
  <si>
    <t>2645220526</t>
  </si>
  <si>
    <t>2659311855</t>
  </si>
  <si>
    <t>266/22</t>
  </si>
  <si>
    <t>266/22-ЛВ/528/22</t>
  </si>
  <si>
    <t>2663317289</t>
  </si>
  <si>
    <t>2665315545</t>
  </si>
  <si>
    <t>2665906025</t>
  </si>
  <si>
    <t>267/22</t>
  </si>
  <si>
    <t>267ea2bcfb1f457f94fc8deb62578601</t>
  </si>
  <si>
    <t>268/22</t>
  </si>
  <si>
    <t>269/22</t>
  </si>
  <si>
    <t>269/688/22</t>
  </si>
  <si>
    <t>26c33d6eb89248299f36c9aeb7ad6147</t>
  </si>
  <si>
    <t>27/04/22/257/22</t>
  </si>
  <si>
    <t>27/22</t>
  </si>
  <si>
    <t>27/56/22</t>
  </si>
  <si>
    <t>2713415855</t>
  </si>
  <si>
    <t>2716516477</t>
  </si>
  <si>
    <t>272/22</t>
  </si>
  <si>
    <t>273/712/22</t>
  </si>
  <si>
    <t>273410cb2ce2426581daf7b00800627b</t>
  </si>
  <si>
    <t>274/22</t>
  </si>
  <si>
    <t>276/22</t>
  </si>
  <si>
    <t>2769112221</t>
  </si>
  <si>
    <t>277/22</t>
  </si>
  <si>
    <t>278/22</t>
  </si>
  <si>
    <t>278538265b99411d9529db53f1052f69</t>
  </si>
  <si>
    <t>279/22</t>
  </si>
  <si>
    <t>2792503156</t>
  </si>
  <si>
    <t>27a99f9b9c514d7081841309c5f58671</t>
  </si>
  <si>
    <t>28/22</t>
  </si>
  <si>
    <t>28/57/22</t>
  </si>
  <si>
    <t>28/В/270/22</t>
  </si>
  <si>
    <t>280/22-ЛВ/589/22</t>
  </si>
  <si>
    <t>2806617432</t>
  </si>
  <si>
    <t>284/22</t>
  </si>
  <si>
    <t>2846/11/22</t>
  </si>
  <si>
    <t>285/22-ЛВ/609/22</t>
  </si>
  <si>
    <t>2867721789</t>
  </si>
  <si>
    <t>287/22</t>
  </si>
  <si>
    <t>288/22</t>
  </si>
  <si>
    <t>289/22</t>
  </si>
  <si>
    <t>289/22-ЛВ/654/22</t>
  </si>
  <si>
    <t>2898322294</t>
  </si>
  <si>
    <t>29/64/22</t>
  </si>
  <si>
    <t>290/22</t>
  </si>
  <si>
    <t>290/22-ЛВ/655/22</t>
  </si>
  <si>
    <t>2902872cc7e1453982e4799a574c37a9</t>
  </si>
  <si>
    <t>291/22</t>
  </si>
  <si>
    <t>292/22</t>
  </si>
  <si>
    <t>2923/196/22</t>
  </si>
  <si>
    <t>292c269988ad419aa655ee39ab30f240</t>
  </si>
  <si>
    <t>293/22</t>
  </si>
  <si>
    <t>2932109532</t>
  </si>
  <si>
    <t>2938418d1c064c7abd5bb62b77a4b034</t>
  </si>
  <si>
    <t>294/22</t>
  </si>
  <si>
    <t>2947315109</t>
  </si>
  <si>
    <t>295/22</t>
  </si>
  <si>
    <t>296/22</t>
  </si>
  <si>
    <t>2963421020</t>
  </si>
  <si>
    <t>297/22</t>
  </si>
  <si>
    <t>298/22</t>
  </si>
  <si>
    <t>299/22</t>
  </si>
  <si>
    <t>29a8cc85896a4a22b6a93bc7ce8463af</t>
  </si>
  <si>
    <t>29b84e414aa94c4fb7d19ee7933c128f</t>
  </si>
  <si>
    <t>2a585fd25e374d7a94053b054d30fb31</t>
  </si>
  <si>
    <t>2a83f3edeab04c4591d761b44bf0925c</t>
  </si>
  <si>
    <t>2a9ff894f4394203aa768dffa38116fe</t>
  </si>
  <si>
    <t>2b0a543b4d514d529e8ebcd602088ea2</t>
  </si>
  <si>
    <t>2b1c8bb6d4a84311bcb8b9b22d303390</t>
  </si>
  <si>
    <t>2b4918a103d0488d8d7586be5dbf994f</t>
  </si>
  <si>
    <t>2b59530bb8d345cca2b816b6e62fa36a</t>
  </si>
  <si>
    <t>2b6c920d045c4dcab106445c92f71995</t>
  </si>
  <si>
    <t>2ba3ae7556f84ed3bafde0d0afcb5ac8</t>
  </si>
  <si>
    <t>2c0974e988af480d9340b951a1a774fb</t>
  </si>
  <si>
    <t>2c4f95acc87149e5b57cfe7eb2a66afe</t>
  </si>
  <si>
    <t>2d7cf4b2d35d49e0b498a1a898842cb2</t>
  </si>
  <si>
    <t>2d87146baee9443a983a60d0f10e244a</t>
  </si>
  <si>
    <t>2e7557ac54474ed19398c9d3469c4c74</t>
  </si>
  <si>
    <t>2eb11f066e204e9bb262323773008f76</t>
  </si>
  <si>
    <t>2f27a2e49c9940468b44eece0fad45ff</t>
  </si>
  <si>
    <t>2fdc0308c39a48579492135a3b3612ce</t>
  </si>
  <si>
    <t>3/716/22</t>
  </si>
  <si>
    <t>3004213438</t>
  </si>
  <si>
    <t>30084713</t>
  </si>
  <si>
    <t>300f37cf9dce40cebe3406cacd1d369e</t>
  </si>
  <si>
    <t>301/22</t>
  </si>
  <si>
    <t>30120000-6 Фотокопіювальне та поліграфічне обладнання для офсетного друку</t>
  </si>
  <si>
    <t>30163496</t>
  </si>
  <si>
    <t>30190000-7 Офісне устаткування та приладдя різне</t>
  </si>
  <si>
    <t>302/22</t>
  </si>
  <si>
    <t>30210000-4 Машини для обробки даних (апаратна частина)</t>
  </si>
  <si>
    <t>30230000-0 Комп’ютерне обладнання</t>
  </si>
  <si>
    <t>30299519</t>
  </si>
  <si>
    <t>303/22</t>
  </si>
  <si>
    <t>303/22-ЛВ/687/22</t>
  </si>
  <si>
    <t>3032523829</t>
  </si>
  <si>
    <t>3035/111/22</t>
  </si>
  <si>
    <t>3035/112/22</t>
  </si>
  <si>
    <t>30484438</t>
  </si>
  <si>
    <t>305/22</t>
  </si>
  <si>
    <t>3051305255</t>
  </si>
  <si>
    <t>306/22</t>
  </si>
  <si>
    <t>3069810173</t>
  </si>
  <si>
    <t>307/22</t>
  </si>
  <si>
    <t>3075612038</t>
  </si>
  <si>
    <t>3077012283</t>
  </si>
  <si>
    <t>308/22</t>
  </si>
  <si>
    <t>30822587fdc741cf8beb1e9d78b82b78</t>
  </si>
  <si>
    <t>3085409907</t>
  </si>
  <si>
    <t>309/22</t>
  </si>
  <si>
    <t>309759cd50f8468b80a1a2151c78191a</t>
  </si>
  <si>
    <t>31.09.26/537/22</t>
  </si>
  <si>
    <t>311/22</t>
  </si>
  <si>
    <t>31117042</t>
  </si>
  <si>
    <t>31210000-1 Електрична апаратура для комутування та захисту електричних кіл</t>
  </si>
  <si>
    <t>31214140-2 Вимикачі світла</t>
  </si>
  <si>
    <t>31220000-4 Елементи електричних схем</t>
  </si>
  <si>
    <t>31264010</t>
  </si>
  <si>
    <t>31310000-2 Мережеві кабелі</t>
  </si>
  <si>
    <t>314/22</t>
  </si>
  <si>
    <t>31410000-3 Гальванічні елементи</t>
  </si>
  <si>
    <t>31430000-9 Електричні акумулятори</t>
  </si>
  <si>
    <t>31487471</t>
  </si>
  <si>
    <t>315/22</t>
  </si>
  <si>
    <t>31510000-4 Електричні лампи розжарення</t>
  </si>
  <si>
    <t>31516486</t>
  </si>
  <si>
    <t>31520000-7 Світильники та освітлювальна арматура</t>
  </si>
  <si>
    <t>31572294</t>
  </si>
  <si>
    <t>3158112950</t>
  </si>
  <si>
    <t>316/22</t>
  </si>
  <si>
    <t>316/22-ЛВ/718/22</t>
  </si>
  <si>
    <t>3161320421</t>
  </si>
  <si>
    <t>31650000-7 Ізоляційне приладдя</t>
  </si>
  <si>
    <t>3169805834</t>
  </si>
  <si>
    <t>317/22</t>
  </si>
  <si>
    <t>317/22-ЛВ/717/22</t>
  </si>
  <si>
    <t>31710000-6 Електронне обладнання</t>
  </si>
  <si>
    <t>3175505223</t>
  </si>
  <si>
    <t>318/22</t>
  </si>
  <si>
    <t>319/22</t>
  </si>
  <si>
    <t>3194c0c97acc47d99a59c0f3b0f25347</t>
  </si>
  <si>
    <t>3198505635</t>
  </si>
  <si>
    <t>31d10543cf45402d9eb85a3a04262c42</t>
  </si>
  <si>
    <t>32/22</t>
  </si>
  <si>
    <t>320/22</t>
  </si>
  <si>
    <t>3204212578</t>
  </si>
  <si>
    <t>3205709508</t>
  </si>
  <si>
    <t>321/22</t>
  </si>
  <si>
    <t>32117635</t>
  </si>
  <si>
    <t>322/22</t>
  </si>
  <si>
    <t>3228205399</t>
  </si>
  <si>
    <t>322eabf8c462404da1e4f1d87f633450</t>
  </si>
  <si>
    <t>323/22</t>
  </si>
  <si>
    <t>324/22-ЛВ/724/22</t>
  </si>
  <si>
    <t>32409127</t>
  </si>
  <si>
    <t>32420000-3 Мережеве обладнання</t>
  </si>
  <si>
    <t>32435bde20704c3c925070879f74e271</t>
  </si>
  <si>
    <t>32490244</t>
  </si>
  <si>
    <t>325/21</t>
  </si>
  <si>
    <t>3252caf4ca804fc8a64a4ea5fc74f5de</t>
  </si>
  <si>
    <t>32580000-2 Інформаційне обладнання</t>
  </si>
  <si>
    <t>326/22</t>
  </si>
  <si>
    <t>3267806473</t>
  </si>
  <si>
    <t>3268706473</t>
  </si>
  <si>
    <t>327/22</t>
  </si>
  <si>
    <t>32712114</t>
  </si>
  <si>
    <t>328/22</t>
  </si>
  <si>
    <t>328/22-ЛВ/759/22</t>
  </si>
  <si>
    <t>328c008913e0416dbfd5cc8c7698a82b</t>
  </si>
  <si>
    <t>3297903158</t>
  </si>
  <si>
    <t>32988915</t>
  </si>
  <si>
    <t>32d7c637a4ef44af8455bdc1c4e632e1</t>
  </si>
  <si>
    <t>32f21961d99142e5873d6e5de65dc0c9</t>
  </si>
  <si>
    <t>33/22</t>
  </si>
  <si>
    <t>330/22</t>
  </si>
  <si>
    <t>33006821</t>
  </si>
  <si>
    <t>331/22</t>
  </si>
  <si>
    <t>33110000-4 Візуалізаційне обладнання для потреб медицини, стоматології та ветеринарної медицини</t>
  </si>
  <si>
    <t>33120000-7 Системи реєстрації медичної інформації та дослідне обладнання</t>
  </si>
  <si>
    <t>33122000-1 Офтальмологічне обладнання</t>
  </si>
  <si>
    <t>33140000-3 Медичні матеріали</t>
  </si>
  <si>
    <t>33150000-6 Апаратура для радіотерапії, механотерапії, електротерапії та фізичної терапії</t>
  </si>
  <si>
    <t>33160000-9 Устаткування для операційних блоків</t>
  </si>
  <si>
    <t>33170000-2 Обладнання для анестезії та реанімації</t>
  </si>
  <si>
    <t>33190000-8 Медичне обладнання та вироби медичного призначення різні</t>
  </si>
  <si>
    <t>332/22</t>
  </si>
  <si>
    <t>3321302187</t>
  </si>
  <si>
    <t>333/22</t>
  </si>
  <si>
    <t>334/22</t>
  </si>
  <si>
    <t>3341204693</t>
  </si>
  <si>
    <t>335/22</t>
  </si>
  <si>
    <t>33542497</t>
  </si>
  <si>
    <t>33600000-6 Фармацевтична продукція</t>
  </si>
  <si>
    <t>33630000-5 Лікарські засоби для лікування дерматологічних захворювань та захворювань опорно-рухового апарату</t>
  </si>
  <si>
    <t>33667438</t>
  </si>
  <si>
    <t>33690000-3 Лікарські засоби різні</t>
  </si>
  <si>
    <t>33710000-0 Парфуми, засоби гігієни та презервативи</t>
  </si>
  <si>
    <t>33730000-6 Офтальмологічні вироби та коригувальні лінзи</t>
  </si>
  <si>
    <t>33740000-9 Засоби для догляду за руками та нігтями</t>
  </si>
  <si>
    <t>33750000-2 Засоби для догляду за малюками</t>
  </si>
  <si>
    <t>33760000-5 Туалетний папір, носові хустинки, рушники для рук і серветки</t>
  </si>
  <si>
    <t>33790000-4 Скляний посуд лабораторного, санітарно-гігієнічного чи фармацевтичного призначення</t>
  </si>
  <si>
    <t>338/22</t>
  </si>
  <si>
    <t>3388008731</t>
  </si>
  <si>
    <t>33882383288449afa27b6c43173844d3</t>
  </si>
  <si>
    <t>33970000-0 Устаткування та приладдя для моргів</t>
  </si>
  <si>
    <t>33b6a88ece334cf2b34bc68bc8d9b9c6</t>
  </si>
  <si>
    <t>340/22</t>
  </si>
  <si>
    <t>3408908950</t>
  </si>
  <si>
    <t>34110000-1 Легкові автомобілі</t>
  </si>
  <si>
    <t>34119262</t>
  </si>
  <si>
    <t>34310000-3 Двигуни та їх частини</t>
  </si>
  <si>
    <t>34330000-9 Запасні частини до вантажних транспортних засобів, фургонів та легкових автомобілів</t>
  </si>
  <si>
    <t>3435205184</t>
  </si>
  <si>
    <t>34432418</t>
  </si>
  <si>
    <t>3444406757</t>
  </si>
  <si>
    <t>345/22</t>
  </si>
  <si>
    <t>34519846</t>
  </si>
  <si>
    <t>3453609035</t>
  </si>
  <si>
    <t>346/22</t>
  </si>
  <si>
    <t>347/22</t>
  </si>
  <si>
    <t>34744897</t>
  </si>
  <si>
    <t>347c28f38a4f45629050e03881fa236d</t>
  </si>
  <si>
    <t>348/22</t>
  </si>
  <si>
    <t>349/22</t>
  </si>
  <si>
    <t>34910000-9 Гужові чи ручні вози, інші транспортні засоби з немеханічним приводом, багажні вози та різні запасні частини</t>
  </si>
  <si>
    <t>350/22</t>
  </si>
  <si>
    <t>351/22</t>
  </si>
  <si>
    <t>35110000-8 Протипожежне, рятувальне та захисне обладнання</t>
  </si>
  <si>
    <t>3515806540</t>
  </si>
  <si>
    <t>3527707378</t>
  </si>
  <si>
    <t>352841fa260245c58eae3938387b060d</t>
  </si>
  <si>
    <t>35382904</t>
  </si>
  <si>
    <t>354/22</t>
  </si>
  <si>
    <t>35417298</t>
  </si>
  <si>
    <t>355/22</t>
  </si>
  <si>
    <t>35586866</t>
  </si>
  <si>
    <t>356/22</t>
  </si>
  <si>
    <t>35622df8133d4fc8a9be8cbdb85af7bc</t>
  </si>
  <si>
    <t>357/22</t>
  </si>
  <si>
    <t>3578-14/607/22</t>
  </si>
  <si>
    <t>358/22</t>
  </si>
  <si>
    <t>35820000-8 Допоміжне екіпірування</t>
  </si>
  <si>
    <t>359/22</t>
  </si>
  <si>
    <t>36/22</t>
  </si>
  <si>
    <t>36/66/22</t>
  </si>
  <si>
    <t>360/22</t>
  </si>
  <si>
    <t>36074229</t>
  </si>
  <si>
    <t>361/005/256/22</t>
  </si>
  <si>
    <t>361/22</t>
  </si>
  <si>
    <t>36157713</t>
  </si>
  <si>
    <t>362/22</t>
  </si>
  <si>
    <t>363/22</t>
  </si>
  <si>
    <t>36359a74fb584f069674d3fdac410051</t>
  </si>
  <si>
    <t>364/22</t>
  </si>
  <si>
    <t>36423868</t>
  </si>
  <si>
    <t>364774385ed7497b88fdff2c5029472b</t>
  </si>
  <si>
    <t>364ab3c3e3734166b1eb9116cca57e84</t>
  </si>
  <si>
    <t>365/22</t>
  </si>
  <si>
    <t>36519759</t>
  </si>
  <si>
    <t>366/22</t>
  </si>
  <si>
    <t>367/22</t>
  </si>
  <si>
    <t>36705378</t>
  </si>
  <si>
    <t>3670e59a0fa14b6aa5de2c0790214530</t>
  </si>
  <si>
    <t>3672510946</t>
  </si>
  <si>
    <t>368/22</t>
  </si>
  <si>
    <t>36820251</t>
  </si>
  <si>
    <t>36aacb7da31945e6a84767d75b5c04cc</t>
  </si>
  <si>
    <t>37/67/22</t>
  </si>
  <si>
    <t>37020aec2f8948a491535bab49f825be</t>
  </si>
  <si>
    <t>373/22</t>
  </si>
  <si>
    <t>37333435</t>
  </si>
  <si>
    <t>374/22</t>
  </si>
  <si>
    <t>375/22</t>
  </si>
  <si>
    <t>37507592</t>
  </si>
  <si>
    <t>37582308</t>
  </si>
  <si>
    <t>376/22</t>
  </si>
  <si>
    <t>378/22</t>
  </si>
  <si>
    <t>37820000-2 Приладдя для образотворчого мистецтва</t>
  </si>
  <si>
    <t>379/22</t>
  </si>
  <si>
    <t>37dabdbcdd234e02aee4331e285b8000</t>
  </si>
  <si>
    <t>38/22/265/22</t>
  </si>
  <si>
    <t>380/22</t>
  </si>
  <si>
    <t>38007479</t>
  </si>
  <si>
    <t>38007505</t>
  </si>
  <si>
    <t>38008192</t>
  </si>
  <si>
    <t>381/22</t>
  </si>
  <si>
    <t>382/22</t>
  </si>
  <si>
    <t>38232742</t>
  </si>
  <si>
    <t>38266412</t>
  </si>
  <si>
    <t>383/22</t>
  </si>
  <si>
    <t>38340000-0 Прилади для вимірювання величин</t>
  </si>
  <si>
    <t>38345221</t>
  </si>
  <si>
    <t>383f128fa39e4bf39d8ceb4078a6b317</t>
  </si>
  <si>
    <t>38410000-2 Лічильні прилади</t>
  </si>
  <si>
    <t>38420000-5 Прилади для вимірювання витрати, рівня та тиску рідин і газів</t>
  </si>
  <si>
    <t>38430000-8 Детектори та аналізатори</t>
  </si>
  <si>
    <t>385/22</t>
  </si>
  <si>
    <t>38501853</t>
  </si>
  <si>
    <t>386/22</t>
  </si>
  <si>
    <t>38606078</t>
  </si>
  <si>
    <t>387/22</t>
  </si>
  <si>
    <t>388/22</t>
  </si>
  <si>
    <t>38831396</t>
  </si>
  <si>
    <t>389/22</t>
  </si>
  <si>
    <t>38b9524e95a24c2e94191b1ef829184a</t>
  </si>
  <si>
    <t>38be6213e92848009a0417a51f022ca6</t>
  </si>
  <si>
    <t>390/22</t>
  </si>
  <si>
    <t>391/22</t>
  </si>
  <si>
    <t>39110000-6 Сидіння, стільці та супутні вироби і частини до них</t>
  </si>
  <si>
    <t>39120000-9 Столи, серванти, письмові столи та книжкові шафи</t>
  </si>
  <si>
    <t>39130000-2 Офісні меблі</t>
  </si>
  <si>
    <t>39138976</t>
  </si>
  <si>
    <t>39140000-5 Меблі для дому</t>
  </si>
  <si>
    <t>39150000-8 Меблі та приспособи різні</t>
  </si>
  <si>
    <t>39196410</t>
  </si>
  <si>
    <t>39220000-0 Кухонне приладдя, товари для дому та господарства і приладдя для закладів громадського харчування</t>
  </si>
  <si>
    <t>39224210-3 - Пензлі для фарбування(Пензлі мал..); 39224210-3 - Пензлі для фарбування(Стрічка малярна)</t>
  </si>
  <si>
    <t>39240000-6 Різальні інструменти</t>
  </si>
  <si>
    <t>39263391</t>
  </si>
  <si>
    <t>393/22</t>
  </si>
  <si>
    <t>39315753</t>
  </si>
  <si>
    <t>39330000-4 Дезінфекційне обладнання</t>
  </si>
  <si>
    <t>39376051</t>
  </si>
  <si>
    <t>394/22</t>
  </si>
  <si>
    <t>395/22</t>
  </si>
  <si>
    <t>39510000-0 Вироби домашнього текстилю</t>
  </si>
  <si>
    <t>39530000-6 Килимові покриття, килимки та килими</t>
  </si>
  <si>
    <t>39560000-5 Текстильні вироби різні</t>
  </si>
  <si>
    <t>396/22</t>
  </si>
  <si>
    <t>39624900</t>
  </si>
  <si>
    <t>397/22</t>
  </si>
  <si>
    <t>39710000-2 Електричні побутові прилади</t>
  </si>
  <si>
    <t>398/22</t>
  </si>
  <si>
    <t>39830000-9 Продукція для чищення</t>
  </si>
  <si>
    <t>399/22</t>
  </si>
  <si>
    <t>39938766</t>
  </si>
  <si>
    <t>39a865dc89c2449b9cb5bda0303497ae</t>
  </si>
  <si>
    <t>39f23c5b99b44229b25161c6dc00fed1</t>
  </si>
  <si>
    <t>3a3dca152efb4d49845c1473259e1d9c</t>
  </si>
  <si>
    <t>3a48832eeae54fd6bf44a65e25a44b6d</t>
  </si>
  <si>
    <t>3a6d39d25c1d46a1b14c68d01f4c43a6</t>
  </si>
  <si>
    <t>3ae5c71c50cb4c49acef31405d66f736</t>
  </si>
  <si>
    <t>3aebc2d60f514b70aa6be478391b24eb</t>
  </si>
  <si>
    <t>3b758713a196419c831fb12f8369e5a3</t>
  </si>
  <si>
    <t>3b864f3d1e114d8e89bc7d00269dded6</t>
  </si>
  <si>
    <t>3bdae9f6f8004c5c92f52856ab866662</t>
  </si>
  <si>
    <t>3c3f1632446e469cae1cd540c4f81933</t>
  </si>
  <si>
    <t>3c968c8f130548a4b5d0c4845d034e89</t>
  </si>
  <si>
    <t>3c9e580ec810486aba65e50bbf605428</t>
  </si>
  <si>
    <t>3dc518b49e054964aa09949b6ce71502</t>
  </si>
  <si>
    <t>3e48af8c713a41e783122fa8fd2b0bdd</t>
  </si>
  <si>
    <t>3e517632b2654fbe845939b424191d6e</t>
  </si>
  <si>
    <t>3f4053fda4774dc0ace0e553c47c020a</t>
  </si>
  <si>
    <t>3f429172ce8848448461090d9a966d52</t>
  </si>
  <si>
    <t>3f74eb67455343a19f429428799caa53</t>
  </si>
  <si>
    <t>3fc3a1d12a054b0ca0764bc1ea3f5db3</t>
  </si>
  <si>
    <t>3fca0ccf1c744c77b2ddb6228088dcea</t>
  </si>
  <si>
    <t>4/45/22</t>
  </si>
  <si>
    <t>40/22</t>
  </si>
  <si>
    <t>401/22</t>
  </si>
  <si>
    <t>40108887</t>
  </si>
  <si>
    <t>402/22</t>
  </si>
  <si>
    <t>40277858</t>
  </si>
  <si>
    <t>403/22</t>
  </si>
  <si>
    <t>40318747</t>
  </si>
  <si>
    <t>404/22</t>
  </si>
  <si>
    <t>405/22</t>
  </si>
  <si>
    <t>407/22</t>
  </si>
  <si>
    <t>4074315f685d4a22914fa03179fb23e3</t>
  </si>
  <si>
    <t>40850161</t>
  </si>
  <si>
    <t>409/22</t>
  </si>
  <si>
    <t>4099b4a7d23d4468848b3622ec2096e1</t>
  </si>
  <si>
    <t>40e4b244fa1a468281c93cff16a2b255</t>
  </si>
  <si>
    <t>40ede09fd004462282a09976f7f08856</t>
  </si>
  <si>
    <t>41/22</t>
  </si>
  <si>
    <t>410/22</t>
  </si>
  <si>
    <t>411/22</t>
  </si>
  <si>
    <t>41110000-3 Питна вода</t>
  </si>
  <si>
    <t>412/22</t>
  </si>
  <si>
    <t>412c0ac18d414e8b9cb6a072e15f6088</t>
  </si>
  <si>
    <t>413/22</t>
  </si>
  <si>
    <t>414-18/1040/22</t>
  </si>
  <si>
    <t>414/22</t>
  </si>
  <si>
    <t>41457569</t>
  </si>
  <si>
    <t>415-18/141/22</t>
  </si>
  <si>
    <t>415/22</t>
  </si>
  <si>
    <t>41571077</t>
  </si>
  <si>
    <t>416/22</t>
  </si>
  <si>
    <t>417/22</t>
  </si>
  <si>
    <t>418/22</t>
  </si>
  <si>
    <t>41877886</t>
  </si>
  <si>
    <t>419/22</t>
  </si>
  <si>
    <t>41937138</t>
  </si>
  <si>
    <t>42/22</t>
  </si>
  <si>
    <t>42/392/22</t>
  </si>
  <si>
    <t>420/22</t>
  </si>
  <si>
    <t>42038183</t>
  </si>
  <si>
    <t>42079261</t>
  </si>
  <si>
    <t>42092130</t>
  </si>
  <si>
    <t>421/22</t>
  </si>
  <si>
    <t>42130000-9 Арматура трубопровідна: крани, вентилі, клапани та подібні пристрої</t>
  </si>
  <si>
    <t>422/22</t>
  </si>
  <si>
    <t>42210926</t>
  </si>
  <si>
    <t>423/22</t>
  </si>
  <si>
    <t>42399676</t>
  </si>
  <si>
    <t>424/22</t>
  </si>
  <si>
    <t>425/22</t>
  </si>
  <si>
    <t>42520000-7 Вентиляційне обладнання</t>
  </si>
  <si>
    <t>425c37aa0e8a4954b5d6830a083e79ca</t>
  </si>
  <si>
    <t>426/22</t>
  </si>
  <si>
    <t>427/22</t>
  </si>
  <si>
    <t>42718162</t>
  </si>
  <si>
    <t>428/22</t>
  </si>
  <si>
    <t>429/22</t>
  </si>
  <si>
    <t>42933841</t>
  </si>
  <si>
    <t>42940000-7 Машини для термічної обробки матеріалів</t>
  </si>
  <si>
    <t>42960000-3 Системи керування та контролю, друкарське і графічне обладнання та обладнання для автоматизації офісу й обробки інформації</t>
  </si>
  <si>
    <t>42970789</t>
  </si>
  <si>
    <t>42974592</t>
  </si>
  <si>
    <t>42996400-8 Змішувачі</t>
  </si>
  <si>
    <t>42d6c0caefc54689a1d7c4a0dc02f1d4</t>
  </si>
  <si>
    <t>42f2e16251604b80b562473119ee3f53</t>
  </si>
  <si>
    <t>43/22</t>
  </si>
  <si>
    <t>430/22</t>
  </si>
  <si>
    <t>431/22</t>
  </si>
  <si>
    <t>432/22</t>
  </si>
  <si>
    <t>433/22</t>
  </si>
  <si>
    <t>433cc1ee926047ef8a47f0a41a3e66b1</t>
  </si>
  <si>
    <t>434/22</t>
  </si>
  <si>
    <t>43477849</t>
  </si>
  <si>
    <t>435/22</t>
  </si>
  <si>
    <t>43554851</t>
  </si>
  <si>
    <t>436/22</t>
  </si>
  <si>
    <t>43830000-0 Електричні інструменти</t>
  </si>
  <si>
    <t>438765812/14/22</t>
  </si>
  <si>
    <t>4399c2372bb443aabde09e7fcc8b2cb5</t>
  </si>
  <si>
    <t>44/22</t>
  </si>
  <si>
    <t>44/99/22</t>
  </si>
  <si>
    <t>440/22</t>
  </si>
  <si>
    <t>440733/220/22</t>
  </si>
  <si>
    <t>441/22</t>
  </si>
  <si>
    <t>44110000-4 Конструкційні матеріали</t>
  </si>
  <si>
    <t>44130000-0 Каналізаційні системи</t>
  </si>
  <si>
    <t>44160000-9 Магістралі, трубопроводи, труби, обсадні труби, тюбінги та супутні вироби</t>
  </si>
  <si>
    <t>44170000-2 Плити, листи, стрічки та фольга, пов’язані з конструкційними матеріалами</t>
  </si>
  <si>
    <t>44190000-8 Конструкційні матеріали різні</t>
  </si>
  <si>
    <t>442/22</t>
  </si>
  <si>
    <t>44209844</t>
  </si>
  <si>
    <t>44210000-5 Конструкції та їх частини</t>
  </si>
  <si>
    <t>44220000-8 Столярні вироби</t>
  </si>
  <si>
    <t>443/22</t>
  </si>
  <si>
    <t>44310000-6 Вироби з дроту</t>
  </si>
  <si>
    <t>44320000-9 Кабелі та супутня продукція</t>
  </si>
  <si>
    <t>44330000-2 Будівельні прути, стрижні, дроти та профілі</t>
  </si>
  <si>
    <t>444/22</t>
  </si>
  <si>
    <t>44410000-7 Вироби для ванної кімнати та кухні</t>
  </si>
  <si>
    <t>44420000-0 Будівельні товари</t>
  </si>
  <si>
    <t>44423710-1 - Каналізаційні люки(Люк каналізаційний 70см); 44423710-1 - Каналізаційні люки(Люк каналізаційний 70см))</t>
  </si>
  <si>
    <t>44470000-5 Чавунні вироби</t>
  </si>
  <si>
    <t>445/22</t>
  </si>
  <si>
    <t>44510000-8 Знаряддя</t>
  </si>
  <si>
    <t>44511340-0 Граблі</t>
  </si>
  <si>
    <t>44520000-1 Замки, ключі та петлі</t>
  </si>
  <si>
    <t>44530000-4 Кріпильні деталі</t>
  </si>
  <si>
    <t>44558504</t>
  </si>
  <si>
    <t>44559026</t>
  </si>
  <si>
    <t>446/22</t>
  </si>
  <si>
    <t>44620000-2 Радіатори і котли для систем центрального опалення та їх деталі</t>
  </si>
  <si>
    <t>44626909</t>
  </si>
  <si>
    <t>447/22</t>
  </si>
  <si>
    <t>44725954</t>
  </si>
  <si>
    <t>4472d2f7639742068fe49284e4ae811d</t>
  </si>
  <si>
    <t>44800000-8 Фарби, лаки, друкарська фарба та мастики</t>
  </si>
  <si>
    <t>44810000-1 Фарби</t>
  </si>
  <si>
    <t>44830000-7 Мастики, шпаклівки, замазки та розчинники</t>
  </si>
  <si>
    <t>44920000-5 Вапняк, гіпс і крейда</t>
  </si>
  <si>
    <t>44d877d3161a4574ab3f0adba3183994</t>
  </si>
  <si>
    <t>44df5f734ce9402288fda140a37abb57</t>
  </si>
  <si>
    <t>45/98/22</t>
  </si>
  <si>
    <t>451/22</t>
  </si>
  <si>
    <t>45110000-1 Руйнування та знесення будівель і земляні роботи</t>
  </si>
  <si>
    <t>45260000-7 Покрівельні роботи та інші спеціалізовані будівельні роботи</t>
  </si>
  <si>
    <t>453/22</t>
  </si>
  <si>
    <t>45310000-3 Електромонтажні роботи</t>
  </si>
  <si>
    <t>45450000-6 Інші завершальні будівельні роботи</t>
  </si>
  <si>
    <t>456/22</t>
  </si>
  <si>
    <t>45640fa3eafb472b859fe6c000d206f3</t>
  </si>
  <si>
    <t>457/22</t>
  </si>
  <si>
    <t>459/22</t>
  </si>
  <si>
    <t>4592649b175c4b689247ace86ee0b8ee</t>
  </si>
  <si>
    <t>46/22</t>
  </si>
  <si>
    <t>46/667/22</t>
  </si>
  <si>
    <t>46/97/22</t>
  </si>
  <si>
    <t>461/22</t>
  </si>
  <si>
    <t>462/22</t>
  </si>
  <si>
    <t>46253a6e31194c3e8cd0b4e6b91d16e9</t>
  </si>
  <si>
    <t>463/22</t>
  </si>
  <si>
    <t>464/22</t>
  </si>
  <si>
    <t>4640a5c1e0094edbb78f09475f0addfa</t>
  </si>
  <si>
    <t>465/22</t>
  </si>
  <si>
    <t>466/22</t>
  </si>
  <si>
    <t>467/22</t>
  </si>
  <si>
    <t>46708bb3029c4d14998eff15735b3618</t>
  </si>
  <si>
    <t>468/22</t>
  </si>
  <si>
    <t>469/22</t>
  </si>
  <si>
    <t>47/22</t>
  </si>
  <si>
    <t>470/22</t>
  </si>
  <si>
    <t>471/22</t>
  </si>
  <si>
    <t>472/22</t>
  </si>
  <si>
    <t>473/22</t>
  </si>
  <si>
    <t>474/22</t>
  </si>
  <si>
    <t>476/22</t>
  </si>
  <si>
    <t>47694/22</t>
  </si>
  <si>
    <t>477898e266ef4a8ba06a45096a873dc1</t>
  </si>
  <si>
    <t>478/22</t>
  </si>
  <si>
    <t>478a8538185b408a9e849f812e94add9</t>
  </si>
  <si>
    <t>479/22</t>
  </si>
  <si>
    <t>480/22</t>
  </si>
  <si>
    <t>481/22</t>
  </si>
  <si>
    <t>482/22</t>
  </si>
  <si>
    <t>4839a692c92e43109f874be49e09492a</t>
  </si>
  <si>
    <t>48480000-6 Пакети програмного забезпечення для продажу та реалізації продукції і бізнес-аналітики</t>
  </si>
  <si>
    <t>484ad637e3cd4e67850731c6d7c00125</t>
  </si>
  <si>
    <t>485/22</t>
  </si>
  <si>
    <t>486/22</t>
  </si>
  <si>
    <t>48810000-9 Інформаційні системи</t>
  </si>
  <si>
    <t>4886c88d7c0945d5a60b82612df5f759</t>
  </si>
  <si>
    <t>489/22</t>
  </si>
  <si>
    <t>48a3b13a8a3e42e195b9b444cceb3d2d</t>
  </si>
  <si>
    <t>48d2e911bdb84a4890323b4856bf4ae2</t>
  </si>
  <si>
    <t>48ПТ-5507/22/221/22</t>
  </si>
  <si>
    <t>48ТЛБ3-15047/22/300/22</t>
  </si>
  <si>
    <t>48ТЛБЗ-21232/22/352/22</t>
  </si>
  <si>
    <t>48ТЛБЗ-23306/22/370/22</t>
  </si>
  <si>
    <t>48ТЛБЗ-24978/22/448/22</t>
  </si>
  <si>
    <t>48ТЛБЗ-26984/22/501/22</t>
  </si>
  <si>
    <t>48ТЛБЗ-28475/22/534/22</t>
  </si>
  <si>
    <t>48ТЛБЗ-29432/22/578/22</t>
  </si>
  <si>
    <t>48ТЛБЗ-30760/22/626/22</t>
  </si>
  <si>
    <t>48ТЛБЗ-32786/22/684/22</t>
  </si>
  <si>
    <t>49/22</t>
  </si>
  <si>
    <t>490/22</t>
  </si>
  <si>
    <t>492/22</t>
  </si>
  <si>
    <t>493/22</t>
  </si>
  <si>
    <t>494/22</t>
  </si>
  <si>
    <t>495/22</t>
  </si>
  <si>
    <t>496/22</t>
  </si>
  <si>
    <t>499/22</t>
  </si>
  <si>
    <t>4a7784ddedd1452fadb21ac797e1a1a8</t>
  </si>
  <si>
    <t>4aa9774c11f84658a22e7352b4972f31</t>
  </si>
  <si>
    <t>4b2dbb5df7014cb39da971bac92d7c02</t>
  </si>
  <si>
    <t>4b61253d620346389416c6d3ed2c3d5d</t>
  </si>
  <si>
    <t>4c23417c03a54896ad2696c1ec109510</t>
  </si>
  <si>
    <t>4c4f61eb7f244917a98f69aa1fb0c394</t>
  </si>
  <si>
    <t>4c541c69296e4f20abc2961a3b422a69</t>
  </si>
  <si>
    <t>4cb3c33e1f8e47fa83877cae6a53cbba</t>
  </si>
  <si>
    <t>4de07655dbd3475c89ef097916f2430f</t>
  </si>
  <si>
    <t>4e468405d2324202b5790bbaf9719fa8</t>
  </si>
  <si>
    <t>4ebfe6da967845d5957a0c0649f120ce</t>
  </si>
  <si>
    <t>4fb59808ccd84d0ab8800f103fcb36b8</t>
  </si>
  <si>
    <t>4ff8da6bcd994b09ac4d09801039f751</t>
  </si>
  <si>
    <t>5</t>
  </si>
  <si>
    <t>5/22</t>
  </si>
  <si>
    <t>50110000-9 Послуги з ремонту і технічного обслуговування мототранспортних засобів і супутнього обладнання</t>
  </si>
  <si>
    <t>503/22</t>
  </si>
  <si>
    <t>50310000-1 Технічне обслуговування і ремонт офісної техніки</t>
  </si>
  <si>
    <t>50340000-0 Послуги з ремонту і технічного обслуговування аудіовізуального та оптичного обладнання</t>
  </si>
  <si>
    <t>504/22</t>
  </si>
  <si>
    <t>50410000-2 Послуги з ремонту і технічного обслуговування вимірювальних, випробувальних і контрольних приладів</t>
  </si>
  <si>
    <t>50420000-5 Послуги з ремонту і технічного обслуговування медичного та хірургічного обладнання</t>
  </si>
  <si>
    <t>50514200-3 Послуги з ремонту і технічного обслуговування резервуарів</t>
  </si>
  <si>
    <t>50530000-9 Послуги з ремонту і технічного обслуговування техніки</t>
  </si>
  <si>
    <t>50610000-4 Послуги з ремонту і технічного обслуговування захисного обладнання</t>
  </si>
  <si>
    <t>50750000-7 Послуги з технічного обслуговування ліфтів</t>
  </si>
  <si>
    <t>50800000-3 Послуги з різних видів ремонту і технічного обслуговування</t>
  </si>
  <si>
    <t>50850000-8 Послуги з ремонту і технічного обслуговування меблів</t>
  </si>
  <si>
    <t>50de9c5c7dd74bf5a7837d8e66a72633</t>
  </si>
  <si>
    <t>50ecb1201711468e85ee53787dcaee02</t>
  </si>
  <si>
    <t>514/22</t>
  </si>
  <si>
    <t>515/22</t>
  </si>
  <si>
    <t>516/22</t>
  </si>
  <si>
    <t>518/22</t>
  </si>
  <si>
    <t>519/22</t>
  </si>
  <si>
    <t>51bcd8e166f04b88809a05b529cceb60</t>
  </si>
  <si>
    <t>52/22</t>
  </si>
  <si>
    <t>520/22</t>
  </si>
  <si>
    <t>5219698c592f4b0398c0994c6d22f255</t>
  </si>
  <si>
    <t>5222e33238d541c09e849b794973f739</t>
  </si>
  <si>
    <t>522688/502/22</t>
  </si>
  <si>
    <t>523/22</t>
  </si>
  <si>
    <t>524/22</t>
  </si>
  <si>
    <t>525/22</t>
  </si>
  <si>
    <t>526/22</t>
  </si>
  <si>
    <t>527/22</t>
  </si>
  <si>
    <t>5282d9c6f48245b591a8a78680d1ff85</t>
  </si>
  <si>
    <t>529/22</t>
  </si>
  <si>
    <t>529a17bedc084175921c83f088d44f41</t>
  </si>
  <si>
    <t>53/22</t>
  </si>
  <si>
    <t>531/22</t>
  </si>
  <si>
    <t>532/22</t>
  </si>
  <si>
    <t>533/22</t>
  </si>
  <si>
    <t>535abaf7d5934d8fa6c5dce9d0d32656</t>
  </si>
  <si>
    <t>536/22</t>
  </si>
  <si>
    <t>538/22</t>
  </si>
  <si>
    <t>539/22</t>
  </si>
  <si>
    <t>53d5dc5e74914538b5d206c68dd77cf3</t>
  </si>
  <si>
    <t>54/22/588/22</t>
  </si>
  <si>
    <t>541/22</t>
  </si>
  <si>
    <t>542/22</t>
  </si>
  <si>
    <t>54241760abc84c9f9b01f24ea2988ec7</t>
  </si>
  <si>
    <t>545/22</t>
  </si>
  <si>
    <t>546/22</t>
  </si>
  <si>
    <t>5460cf2266f04e938303277fbdea32db</t>
  </si>
  <si>
    <t>547/22</t>
  </si>
  <si>
    <t>548/22</t>
  </si>
  <si>
    <t>549/22</t>
  </si>
  <si>
    <t>550/22</t>
  </si>
  <si>
    <t>551/22</t>
  </si>
  <si>
    <t>552/22</t>
  </si>
  <si>
    <t>553/22</t>
  </si>
  <si>
    <t>554/22</t>
  </si>
  <si>
    <t>555/22</t>
  </si>
  <si>
    <t>55565074a8cf4f2fb37947cb430737c8</t>
  </si>
  <si>
    <t>556/22</t>
  </si>
  <si>
    <t>557/22</t>
  </si>
  <si>
    <t>558/22</t>
  </si>
  <si>
    <t>559/22</t>
  </si>
  <si>
    <t>55a8b573ffbe4908b8286a10474c8d4d</t>
  </si>
  <si>
    <t>56/134/22</t>
  </si>
  <si>
    <t>560/22</t>
  </si>
  <si>
    <t>561/22</t>
  </si>
  <si>
    <t>562/22</t>
  </si>
  <si>
    <t>56224464e3e44c65b43f82ac358c3d95</t>
  </si>
  <si>
    <t>563/22</t>
  </si>
  <si>
    <t>564/22</t>
  </si>
  <si>
    <t>565/22</t>
  </si>
  <si>
    <t>566/22</t>
  </si>
  <si>
    <t>567/22</t>
  </si>
  <si>
    <t>568/22</t>
  </si>
  <si>
    <t>56d86e0a8e854b34b43df49c5ee1a12c</t>
  </si>
  <si>
    <t>570/22</t>
  </si>
  <si>
    <t>571/22</t>
  </si>
  <si>
    <t>571504d911224969b6aab7b6e270003f</t>
  </si>
  <si>
    <t>574/22</t>
  </si>
  <si>
    <t>575/22</t>
  </si>
  <si>
    <t>576/22</t>
  </si>
  <si>
    <t>577/22</t>
  </si>
  <si>
    <t>579/22-РБК/630/22</t>
  </si>
  <si>
    <t>57c638b936c94faea12c575a24ffbda0</t>
  </si>
  <si>
    <t>57e921ade68a451caed60e7be6b66931</t>
  </si>
  <si>
    <t>58/22</t>
  </si>
  <si>
    <t>582fb9769a224311bd3270dcc1e52598</t>
  </si>
  <si>
    <t>583/22</t>
  </si>
  <si>
    <t>584/22</t>
  </si>
  <si>
    <t>585/22</t>
  </si>
  <si>
    <t>586/22</t>
  </si>
  <si>
    <t>587/22</t>
  </si>
  <si>
    <t>589e9043f6f940699dbf0bf172acdc2a</t>
  </si>
  <si>
    <t>59/22</t>
  </si>
  <si>
    <t>591/22</t>
  </si>
  <si>
    <t>592/22</t>
  </si>
  <si>
    <t>593/22</t>
  </si>
  <si>
    <t>594/22</t>
  </si>
  <si>
    <t>595/22</t>
  </si>
  <si>
    <t>596/22</t>
  </si>
  <si>
    <t>597/22</t>
  </si>
  <si>
    <t>5974bd55e36d4158ae82c7bc158e6292</t>
  </si>
  <si>
    <t>598/22</t>
  </si>
  <si>
    <t>59802114d5e944a6860ed1b78e15e22d</t>
  </si>
  <si>
    <t>599/22</t>
  </si>
  <si>
    <t>5a1ef688bca14a5d8704b2728002adb8</t>
  </si>
  <si>
    <t>5a440cca556947be83aad7eac6025515</t>
  </si>
  <si>
    <t>5a73cf26c166436c81d1bd586f966c07</t>
  </si>
  <si>
    <t>5a811a508cfe40358734f9b89a6f4db1</t>
  </si>
  <si>
    <t>5b11c5d55c3d4ad1910097e6e1c0ee39</t>
  </si>
  <si>
    <t>5c466745c1044fc18d94e5ff2a8b4cb9</t>
  </si>
  <si>
    <t>5c47f5739c0748f38d9dc884efc75948</t>
  </si>
  <si>
    <t>5c62f5417a054c6c9a4e1f895184e713</t>
  </si>
  <si>
    <t>5cb7294debb3405fbc2fa72bf38ca472</t>
  </si>
  <si>
    <t>5d50e187212049e9b55df20cc1a69452</t>
  </si>
  <si>
    <t>5d5b8ff62e26496f988a2432ba4efb43</t>
  </si>
  <si>
    <t>5d89155ea796482ead5f70785690f8da</t>
  </si>
  <si>
    <t>5d98a980747b46cc9a7fe81ae3a3eb71</t>
  </si>
  <si>
    <t>5e243d22c0ab427eb25d192763b18d0f</t>
  </si>
  <si>
    <t>5e2f4274fe46494f98d55630de91f206</t>
  </si>
  <si>
    <t>5e5dce300a3241258a41293850dfe559</t>
  </si>
  <si>
    <t>5e75bc7f070c40bb8324b03ed0da5e44</t>
  </si>
  <si>
    <t>5ee1f425ce184a64bf30f2d4d547e73b</t>
  </si>
  <si>
    <t>5f878449c025487d8163f219feb6d07c</t>
  </si>
  <si>
    <t>5fa61be674e548a7bde02b1cbbd20fca</t>
  </si>
  <si>
    <t>5fd469180c9a4e39a004229816e4c827</t>
  </si>
  <si>
    <t>5fd914daffd04520a06632de2df2da67</t>
  </si>
  <si>
    <t>5ff765ff684e4afeb08c79c7b99bad29</t>
  </si>
  <si>
    <t>5ffa911fa4af4012a3dd863697035b06</t>
  </si>
  <si>
    <t>60/136/22</t>
  </si>
  <si>
    <t>60/22</t>
  </si>
  <si>
    <t>60100000-9 Послуги з автомобільних перевезень</t>
  </si>
  <si>
    <t>602/22</t>
  </si>
  <si>
    <t>6023b61cfeb340ca8d323244c452e64d</t>
  </si>
  <si>
    <t>6036/19/22</t>
  </si>
  <si>
    <t>604/22</t>
  </si>
  <si>
    <t>605/22</t>
  </si>
  <si>
    <t>61/22</t>
  </si>
  <si>
    <t>610/22</t>
  </si>
  <si>
    <t>6100/341/22</t>
  </si>
  <si>
    <t>611/22</t>
  </si>
  <si>
    <t>61130f7229ab4e1aad8a444850ff0b86</t>
  </si>
  <si>
    <t>612/22</t>
  </si>
  <si>
    <t>613/22</t>
  </si>
  <si>
    <t>614/22</t>
  </si>
  <si>
    <t>6147/342/22</t>
  </si>
  <si>
    <t>615/22</t>
  </si>
  <si>
    <t>6155/343/22</t>
  </si>
  <si>
    <t>6156/344/22</t>
  </si>
  <si>
    <t>616/22</t>
  </si>
  <si>
    <t>617/22</t>
  </si>
  <si>
    <t>618/22</t>
  </si>
  <si>
    <t>619/22</t>
  </si>
  <si>
    <t>61a73ef18f3c44e8b40ccf702f9f722e</t>
  </si>
  <si>
    <t>61b1f607ba144570a7bf300d629ea2b4</t>
  </si>
  <si>
    <t>61fc847640c046c9948b211246d02d7a</t>
  </si>
  <si>
    <t>62/123/22</t>
  </si>
  <si>
    <t>62/22</t>
  </si>
  <si>
    <t>620/22</t>
  </si>
  <si>
    <t>621/22</t>
  </si>
  <si>
    <t>622/22</t>
  </si>
  <si>
    <t>6239/372/22</t>
  </si>
  <si>
    <t>624/22</t>
  </si>
  <si>
    <t>625/22</t>
  </si>
  <si>
    <t>628/22</t>
  </si>
  <si>
    <t>6287/371/22</t>
  </si>
  <si>
    <t>6288cdbcd5fd4135b3a09fead02617b8</t>
  </si>
  <si>
    <t>62b8db36d9f844308f7a465a07247199</t>
  </si>
  <si>
    <t>62СВ790-17529-22/273/22</t>
  </si>
  <si>
    <t>63285c4d03ef442984b9fa23af49c6fd</t>
  </si>
  <si>
    <t>634/22</t>
  </si>
  <si>
    <t>6343bf7002f84ee3b510217a8a27d76c</t>
  </si>
  <si>
    <t>635/22</t>
  </si>
  <si>
    <t>6370fb37f55845ba8047ca1267ce407d</t>
  </si>
  <si>
    <t>639816b74aec4ccc90cf39817ddd8db1</t>
  </si>
  <si>
    <t>640/22</t>
  </si>
  <si>
    <t>642/22</t>
  </si>
  <si>
    <t>64200000-8 Телекомунікаційні послуги</t>
  </si>
  <si>
    <t>64210000-1 Послуги телефонного зв’язку та передачі даних</t>
  </si>
  <si>
    <t>643c32a197ad4683bb3fe7542050be6c</t>
  </si>
  <si>
    <t>644/22</t>
  </si>
  <si>
    <t>64571006448f43e3a341b9ae038959bd</t>
  </si>
  <si>
    <t>646-18/146/22</t>
  </si>
  <si>
    <t>647540b99fc2404e9a09d70ba472d983</t>
  </si>
  <si>
    <t>648/22</t>
  </si>
  <si>
    <t>6480/460/22</t>
  </si>
  <si>
    <t>648008f5d3554414948a395354ad9cec</t>
  </si>
  <si>
    <t>649/22</t>
  </si>
  <si>
    <t>649d59daa44b4087a777fcc14cfc1967</t>
  </si>
  <si>
    <t>64abef2fec5c4a3d92b8aafe35dcac7a</t>
  </si>
  <si>
    <t>64b427ef1e8b4f8c8a87fe994ecc7470</t>
  </si>
  <si>
    <t>64bf64d8cad84e11b9b4a0b8873f4a75</t>
  </si>
  <si>
    <t>650/22</t>
  </si>
  <si>
    <t>650238530fe342bd9aead838df21bdf8</t>
  </si>
  <si>
    <t>651/22</t>
  </si>
  <si>
    <t>65110000-7 Розподіл води</t>
  </si>
  <si>
    <t>652/22</t>
  </si>
  <si>
    <t>65210000-8 Розподіл газу</t>
  </si>
  <si>
    <t>653/22</t>
  </si>
  <si>
    <t>65310000-9 Розподіл електричної енергії</t>
  </si>
  <si>
    <t>6554/483/22</t>
  </si>
  <si>
    <t>656/22</t>
  </si>
  <si>
    <t>657/22</t>
  </si>
  <si>
    <t>65d9901c5f1f4424ab25749117ce6313</t>
  </si>
  <si>
    <t>65d99fe4063245f3b0e8ac010ecd301d</t>
  </si>
  <si>
    <t>661/22</t>
  </si>
  <si>
    <t>662/22</t>
  </si>
  <si>
    <t>663/22</t>
  </si>
  <si>
    <t>664/22</t>
  </si>
  <si>
    <t>664286b2ab9945b0a26a1d0a4cc199d5</t>
  </si>
  <si>
    <t>665/22</t>
  </si>
  <si>
    <t>66514110-0 Послуги зі страхування транспортних засобів</t>
  </si>
  <si>
    <t>666/22</t>
  </si>
  <si>
    <t>6679152c6c77420c8a25feec91e6646b</t>
  </si>
  <si>
    <t>668/22</t>
  </si>
  <si>
    <t>669/22</t>
  </si>
  <si>
    <t>6692/535/22</t>
  </si>
  <si>
    <t>66b37016a9de477389abde38893a3a2d</t>
  </si>
  <si>
    <t>66b66dcbde32477ba07b0da369f0599d</t>
  </si>
  <si>
    <t>66c182f99549411594778dfe037ce328</t>
  </si>
  <si>
    <t>670/22</t>
  </si>
  <si>
    <t>6709/572/22</t>
  </si>
  <si>
    <t>671/22</t>
  </si>
  <si>
    <t>672/22</t>
  </si>
  <si>
    <t>673/22</t>
  </si>
  <si>
    <t>674/22</t>
  </si>
  <si>
    <t>675/22</t>
  </si>
  <si>
    <t>676/22</t>
  </si>
  <si>
    <t>676bc2da316140b3b0db9aecdd7c8dea</t>
  </si>
  <si>
    <t>677/22</t>
  </si>
  <si>
    <t>678/22</t>
  </si>
  <si>
    <t>6790/579/22</t>
  </si>
  <si>
    <t>679f4f1d115541f9bb1ae0d7452be0f8</t>
  </si>
  <si>
    <t>68/22/З</t>
  </si>
  <si>
    <t>680/22</t>
  </si>
  <si>
    <t>681/22</t>
  </si>
  <si>
    <t>682/22</t>
  </si>
  <si>
    <t>683/22</t>
  </si>
  <si>
    <t>685/22</t>
  </si>
  <si>
    <t>686/22</t>
  </si>
  <si>
    <t>688cfcfaafc049ecac3d127657dec0e6</t>
  </si>
  <si>
    <t>689-18/194/22</t>
  </si>
  <si>
    <t>689/22</t>
  </si>
  <si>
    <t>68bd71d8e7a747c8ac9efc56789fcef7</t>
  </si>
  <si>
    <t>68e3e42ce42f4a9eacce2ebbcb9b47e9</t>
  </si>
  <si>
    <t>69/22</t>
  </si>
  <si>
    <t>691/22</t>
  </si>
  <si>
    <t>692/22</t>
  </si>
  <si>
    <t>693/22</t>
  </si>
  <si>
    <t>695/22</t>
  </si>
  <si>
    <t>697/22</t>
  </si>
  <si>
    <t>698/22</t>
  </si>
  <si>
    <t>699/22</t>
  </si>
  <si>
    <t>69b52bdfe71942baa2ff5f1f6ce17b77</t>
  </si>
  <si>
    <t>69b8e21b831f4b8e9bb20b31ab3c0f74</t>
  </si>
  <si>
    <t>69bbe613ba2047e093cee158ba7fac00</t>
  </si>
  <si>
    <t>6a217699a3c5415dba60114599621de4</t>
  </si>
  <si>
    <t>6a2899c0425546468f32aae2da170e99</t>
  </si>
  <si>
    <t>6af08b0b0d064ad08e6f83330bbdc7a2</t>
  </si>
  <si>
    <t>6b6c310557974b76916f791a0746462b</t>
  </si>
  <si>
    <t>6c000eb68b5b40939c3b75841a0cc9aa</t>
  </si>
  <si>
    <t>6c225702059c4dfc9b7dd9cb63bd3429</t>
  </si>
  <si>
    <t>6cfbdecbb33c4b898b25e41337aa053b</t>
  </si>
  <si>
    <t>6d286ba471d142e2bc03a99523d5dbeb</t>
  </si>
  <si>
    <t>6d877b8dd75a421ca0cc171c939d806f</t>
  </si>
  <si>
    <t>6d9bde97997b49fe8be685c5c83dd02e</t>
  </si>
  <si>
    <t>6eda454c40144e5fbb756f980fa939a8</t>
  </si>
  <si>
    <t>6fa2a8e807ed4d8c8dea58c92bc97a67</t>
  </si>
  <si>
    <t>7 ДЕРЖАВНИЙ ПОЖЕЖНО-РЯТУВАЛЬНИЙ ЗАГІН ГОЛОВНОГО УПРАВЛІННЯ ДЕРЖАВНОЇ СЛУЖБИ УКРАЇНИ З НАДЗВИЧАЙНИХ СИТУАЦІЙ У ЛЬВІВСЬКІЙ ОБЛАСТІ</t>
  </si>
  <si>
    <t>7/22</t>
  </si>
  <si>
    <t>7/5/2-43/590/22</t>
  </si>
  <si>
    <t>700/22</t>
  </si>
  <si>
    <t>701/22</t>
  </si>
  <si>
    <t>702/22</t>
  </si>
  <si>
    <t>7025fad76c0e4b8cb226c44581508986</t>
  </si>
  <si>
    <t>703/22</t>
  </si>
  <si>
    <t>704/22</t>
  </si>
  <si>
    <t>705/22</t>
  </si>
  <si>
    <t>7054439118084f228213cdafa79cf8e1</t>
  </si>
  <si>
    <t>706/22</t>
  </si>
  <si>
    <t>7069ab0ead2f45c18d57a558a9b23691</t>
  </si>
  <si>
    <t>707/22</t>
  </si>
  <si>
    <t>708-22</t>
  </si>
  <si>
    <t>708fdfcf6a1d43c28b2f5c8c2b6fc5e2</t>
  </si>
  <si>
    <t>709/22</t>
  </si>
  <si>
    <t>710/22</t>
  </si>
  <si>
    <t>711/22</t>
  </si>
  <si>
    <t>71240000-2 Архітектурні, інженерні та планувальні послуги</t>
  </si>
  <si>
    <t>712f6731610348da8f9c9660f2881422</t>
  </si>
  <si>
    <t>71310000-4 Консультаційні послуги у галузях інженерії та будівництва</t>
  </si>
  <si>
    <t>71320000-7 Послуги з інженерного проектування</t>
  </si>
  <si>
    <t>71330000-0 Інженерні послуги різні</t>
  </si>
  <si>
    <t>714/22</t>
  </si>
  <si>
    <t>7146f79c13fb411bab301d3402049969</t>
  </si>
  <si>
    <t>715/22</t>
  </si>
  <si>
    <t>71520000-9 Послуги з нагляду за виконанням будівельних робіт</t>
  </si>
  <si>
    <t>71530000-2 Консультаційні послуги в галузі будівництва</t>
  </si>
  <si>
    <t>71610000-7 Послуги з випробувань та аналізу складу і чистоти</t>
  </si>
  <si>
    <t>71630000-3 Послуги з технічного огляду та випробовувань</t>
  </si>
  <si>
    <t>719/22</t>
  </si>
  <si>
    <t>72/22 DRG/633/22</t>
  </si>
  <si>
    <t>720/22</t>
  </si>
  <si>
    <t>720/22-РБК/749/22</t>
  </si>
  <si>
    <t>721/22</t>
  </si>
  <si>
    <t>722/22</t>
  </si>
  <si>
    <t>7224a526e64d4d22ae3c6b1c4c2f0ef4</t>
  </si>
  <si>
    <t>72260000-5 Послуги, пов’язані з програмним забезпеченням</t>
  </si>
  <si>
    <t>725/22</t>
  </si>
  <si>
    <t>727/22</t>
  </si>
  <si>
    <t>72710000-0 Послуги у сфері локальних мереж</t>
  </si>
  <si>
    <t>727a13e915bc4143bcf804f74b6311b7</t>
  </si>
  <si>
    <t>727cb469a4eb429daa60cfb890145e7e</t>
  </si>
  <si>
    <t>728/22</t>
  </si>
  <si>
    <t>729/22</t>
  </si>
  <si>
    <t>730/22</t>
  </si>
  <si>
    <t>731/22</t>
  </si>
  <si>
    <t>732/22</t>
  </si>
  <si>
    <t>733/22</t>
  </si>
  <si>
    <t>734/22</t>
  </si>
  <si>
    <t>73424e38922349e4a5fa80aa27403169</t>
  </si>
  <si>
    <t>735/22</t>
  </si>
  <si>
    <t>7357548214974fa584cb8f4e699e8613</t>
  </si>
  <si>
    <t>736/22</t>
  </si>
  <si>
    <t>73640dea07fb4dac87a1afa2e25679fc</t>
  </si>
  <si>
    <t>737/22</t>
  </si>
  <si>
    <t>738/22</t>
  </si>
  <si>
    <t>739/22</t>
  </si>
  <si>
    <t>73b86db0c9d44a8a9fd34ce84f2db100</t>
  </si>
  <si>
    <t>73d8e28a0fa543abbbb82b5a3e661be1</t>
  </si>
  <si>
    <t>73dd87bd82f141bfbda6581607fc7458</t>
  </si>
  <si>
    <t>74/22</t>
  </si>
  <si>
    <t>740/22</t>
  </si>
  <si>
    <t>741/22</t>
  </si>
  <si>
    <t>742/22</t>
  </si>
  <si>
    <t>743/22</t>
  </si>
  <si>
    <t>744/22</t>
  </si>
  <si>
    <t>745/22</t>
  </si>
  <si>
    <t>746/22</t>
  </si>
  <si>
    <t>747/22</t>
  </si>
  <si>
    <t>7479d1057729474f9635928d1ec2c21d</t>
  </si>
  <si>
    <t>748/22</t>
  </si>
  <si>
    <t>74980f44f6e04e52ba3870b847a0b808</t>
  </si>
  <si>
    <t>74b7eba01bd6488096df6f4841054f5a</t>
  </si>
  <si>
    <t>75/22</t>
  </si>
  <si>
    <t>750/22</t>
  </si>
  <si>
    <t>751/22</t>
  </si>
  <si>
    <t>7517b075e7fa44b3b3d3a6675b3b146a</t>
  </si>
  <si>
    <t>751f3dbf3e5b4e8aa22e6a569a084642</t>
  </si>
  <si>
    <t>752/22</t>
  </si>
  <si>
    <t>75250000-3 Послуги пожежних і рятувальних служб</t>
  </si>
  <si>
    <t>753/22</t>
  </si>
  <si>
    <t>754/22</t>
  </si>
  <si>
    <t>755/22</t>
  </si>
  <si>
    <t>756/22</t>
  </si>
  <si>
    <t>757/22</t>
  </si>
  <si>
    <t>758/22</t>
  </si>
  <si>
    <t>75c8a9e0a05d4c90aa694e20bdd32668</t>
  </si>
  <si>
    <t>75e63318dce8402ebde2883b5cd19430</t>
  </si>
  <si>
    <t>76-22</t>
  </si>
  <si>
    <t>760/22</t>
  </si>
  <si>
    <t>7600b9130ecf413ab04c541ede0f1d87</t>
  </si>
  <si>
    <t>762/22</t>
  </si>
  <si>
    <t>763/22</t>
  </si>
  <si>
    <t>77/22</t>
  </si>
  <si>
    <t>771572bc2646410bb1d32ce92e03b132</t>
  </si>
  <si>
    <t>777aa69919ed436897725c63e9bed6b0</t>
  </si>
  <si>
    <t>77c9ed998f244aaa973bac77319e5a0d</t>
  </si>
  <si>
    <t>782973e439434062b518057dfcb58489</t>
  </si>
  <si>
    <t>782ab7c17cc14e2295ca4875fec4695c</t>
  </si>
  <si>
    <t>7856a2ca83c74ca5a4c2f27fa4407ad2</t>
  </si>
  <si>
    <t>78662c6cd2d841a5b40f3e0d14739915</t>
  </si>
  <si>
    <t>78bd72d8f1d44063b81cf05592310ee9</t>
  </si>
  <si>
    <t>79/22</t>
  </si>
  <si>
    <t>7929d8b669ae484eb47f65bf9e4ec36a</t>
  </si>
  <si>
    <t>79710000-4 Охоронні послуги</t>
  </si>
  <si>
    <t>79713000-5 Послуги з охорони об’єктів та особистої охорони</t>
  </si>
  <si>
    <t>79bdee17fa34460c9532016970e02441</t>
  </si>
  <si>
    <t>7bbe50aaec5545fb900b04ffbab79dfe</t>
  </si>
  <si>
    <t>7bc5c5218fff452aa5313c192d4ff1f2</t>
  </si>
  <si>
    <t>7c59fd1ad370460fb935ddb188525840</t>
  </si>
  <si>
    <t>7caf241a8060466c8446550a007c19fd</t>
  </si>
  <si>
    <t>7cf10ff2a82f4f9c94b4202202bfbde2</t>
  </si>
  <si>
    <t>7d0eb389fcdd4014b6ca938cfb72e655</t>
  </si>
  <si>
    <t>7db83fa8c79946ae8f345571d42c5047</t>
  </si>
  <si>
    <t>7dcf53f2d6df43c29302e31023e56bf2</t>
  </si>
  <si>
    <t>7dd5ac5aaeca40e2805381c506b51801</t>
  </si>
  <si>
    <t>7ddc74918ab24777b12d202e06df7520</t>
  </si>
  <si>
    <t>7e244028f01b400486cbfac6fc7ca1e6</t>
  </si>
  <si>
    <t>7e40980db3d74b5596885245f3d78621</t>
  </si>
  <si>
    <t>7e4ffe1b122142beb3a933d5a38134f6</t>
  </si>
  <si>
    <t>7ee1129a1e404a45910e6d2f94e8b63e</t>
  </si>
  <si>
    <t>7f50230c1d644a469edc01fbb9042e40</t>
  </si>
  <si>
    <t>7fc0aa90dc73463b83eacb37d1902786</t>
  </si>
  <si>
    <t>8/119/22</t>
  </si>
  <si>
    <t>8/22</t>
  </si>
  <si>
    <t>80/22</t>
  </si>
  <si>
    <t>80510000-2 Послуги з професійної підготовки спеціалістів</t>
  </si>
  <si>
    <t>80520000-5 Навчальні засоби</t>
  </si>
  <si>
    <t>80550000-4 Послуги з професійної підготовки у сфері безпеки</t>
  </si>
  <si>
    <t>80570000-0 Послуги з професійної підготовки у сфері підвищення кваліфікації</t>
  </si>
  <si>
    <t>80e6469910a841bfa8255d05bf5b1bad</t>
  </si>
  <si>
    <t>81/22</t>
  </si>
  <si>
    <t>814420e58e5e4a8480870ede9d33616c</t>
  </si>
  <si>
    <t>81709fece16648d28f953551a400966c</t>
  </si>
  <si>
    <t>81cd7b52a67a433da427d1f0734db499</t>
  </si>
  <si>
    <t>82/22</t>
  </si>
  <si>
    <t>822177ef375048c1a0b87b7cafcc0f27</t>
  </si>
  <si>
    <t>83/22</t>
  </si>
  <si>
    <t>8368c4294c0f4282b2ee684a41689694</t>
  </si>
  <si>
    <t>83a989fcd6ff4421bb66258446bcd6cc</t>
  </si>
  <si>
    <t>83b397687d6842bc83a3360f25a8c21e</t>
  </si>
  <si>
    <t>841ef334732d4e019d037a3b25df3e0e</t>
  </si>
  <si>
    <t>844c046b75904349b12af7dad6dda856</t>
  </si>
  <si>
    <t>845a119d2ac04488b60f11cdb6369144</t>
  </si>
  <si>
    <t>84764ccfccb74ba786b16df276480ee1</t>
  </si>
  <si>
    <t>84854b9749bb48599434cd41d9e21b8c</t>
  </si>
  <si>
    <t>84ea316b60cf4fc6ad1e4857c806697a</t>
  </si>
  <si>
    <t>84f0f49d2eaf42edb698bd4dfa2a6d60</t>
  </si>
  <si>
    <t>85/22</t>
  </si>
  <si>
    <t>85110000-3 Послуги лікувальних закладів та супутні послуги</t>
  </si>
  <si>
    <t>851108b05a764f369e756bd5e2d6c55f</t>
  </si>
  <si>
    <t>85140000-2 Послуги у сфері охорони здоров’я різні</t>
  </si>
  <si>
    <t>85c105cbb9a34c39a5ee0ffad3ff06a4</t>
  </si>
  <si>
    <t>85e87a2a7912434daf4a768af4659771</t>
  </si>
  <si>
    <t>86/22</t>
  </si>
  <si>
    <t>863ab4629f0e4bd2a079ac99c513d22d</t>
  </si>
  <si>
    <t>8648e2c507ce41f183149b306ce9ff81</t>
  </si>
  <si>
    <t>8749a59414f54fe59421336e2ae7ba21</t>
  </si>
  <si>
    <t>87d9e81ebef0490f99d98b1102182f27</t>
  </si>
  <si>
    <t>88/22</t>
  </si>
  <si>
    <t>8802bbe9f0704c60851cc6f59745df5b</t>
  </si>
  <si>
    <t>883d08113d4f43f2a322be2051ee16cc</t>
  </si>
  <si>
    <t>88dc73729104433a8b37c50e345ebeed</t>
  </si>
  <si>
    <t>88e8532dcecf4970b8902cd555cb83ea</t>
  </si>
  <si>
    <t>89/22</t>
  </si>
  <si>
    <t>891269e0a1e540c6a8863263f624f4b2</t>
  </si>
  <si>
    <t>892d7090b0e04b858a27eae3d28e68ed</t>
  </si>
  <si>
    <t>8940b8ab82d243799d3b601ac78edeee</t>
  </si>
  <si>
    <t>89860be251da447982b560834ca30ad4</t>
  </si>
  <si>
    <t>89fdedd3b2a949748ed85509980ba7fa</t>
  </si>
  <si>
    <t>8aaa9064a0fa4090b05ed167df614e1b</t>
  </si>
  <si>
    <t>8acceca8a1e747c7a1534b635985312b</t>
  </si>
  <si>
    <t>8bd285321b704f19ae6d5b551f347b9d</t>
  </si>
  <si>
    <t>8c34dd9ee17644e4bd3c6f66cc40c3ea</t>
  </si>
  <si>
    <t>8c3e5f6602d1486d80cc734009a0d25e</t>
  </si>
  <si>
    <t>8c43fd0c37194c1388ae49160a59bde0</t>
  </si>
  <si>
    <t>8c5a6f8699b343a892fc710562194fc9</t>
  </si>
  <si>
    <t>8cda2852e66842baa1efea8d43f5747a</t>
  </si>
  <si>
    <t>8d2b39f26bb64edca77ecb443ce14ea5</t>
  </si>
  <si>
    <t>8d3e8c20af8b45c8a77a3651c4ba0ba2</t>
  </si>
  <si>
    <t>8d85035c83d74799be38b1ae5add6397</t>
  </si>
  <si>
    <t>8d93577427714417ad5ede3f35d34206</t>
  </si>
  <si>
    <t>8e11008047a449e5b7db77d4af1ffcdc</t>
  </si>
  <si>
    <t>8e79437e63d44075a149c7d18346a939</t>
  </si>
  <si>
    <t>8e9d34c821e74b75b5ce543b1d639da5</t>
  </si>
  <si>
    <t>8ed675cbb9364870b2beb2dd6084b046</t>
  </si>
  <si>
    <t>8f79cdc4cabf4173a0df5e7e21a3e334</t>
  </si>
  <si>
    <t>8f95c62a48124fc780d49b4e5a7b71d0</t>
  </si>
  <si>
    <t>9/22</t>
  </si>
  <si>
    <t>90/22</t>
  </si>
  <si>
    <t>90/Г/Д/22/275/22</t>
  </si>
  <si>
    <t>90430000-0 Послуги з відведення стічних вод</t>
  </si>
  <si>
    <t>90510000-5 Утилізація/видалення сміття та поводження зі сміттям</t>
  </si>
  <si>
    <t>90520000-8 Послуги у сфері поводження з радіоактивними, токсичними, медичними та небезпечними відходами</t>
  </si>
  <si>
    <t>9076af6eecfd4e1c9a2097e6e0ef39cc</t>
  </si>
  <si>
    <t>907afcea8b1a4aad87cc1a39cb433e9f</t>
  </si>
  <si>
    <t>908c95ee83b44256bef8ce6d8fa4b75d</t>
  </si>
  <si>
    <t>90920000-2 Послуги із санітарно-гігієнічної обробки приміщень</t>
  </si>
  <si>
    <t>91/22</t>
  </si>
  <si>
    <t>911cc422b2d94808823936ada98f1f75</t>
  </si>
  <si>
    <t>91689cd60e9940d490045412b28f28a5</t>
  </si>
  <si>
    <t>91ab837207614352a04a4aed90380e75</t>
  </si>
  <si>
    <t>91ce26e71c404163a35a9c71a5eac07f</t>
  </si>
  <si>
    <t>92/22</t>
  </si>
  <si>
    <t>922/2022/658/22</t>
  </si>
  <si>
    <t>92730ab890c3483c9483444eba65ce55</t>
  </si>
  <si>
    <t>92800777448f41a1b3cb63469e9eb27c</t>
  </si>
  <si>
    <t>92bc4ee472d54c57b1fe49aab31b9924</t>
  </si>
  <si>
    <t>92dd6e38ff5c437c98fc669f00a6e301</t>
  </si>
  <si>
    <t>92e2905b8bbb445a84bdd93e5820a26e</t>
  </si>
  <si>
    <t>93/22</t>
  </si>
  <si>
    <t>930353defa4741f4b5544902bcfe8540</t>
  </si>
  <si>
    <t>9325c6a56c0e47a69c1f0184e6947842</t>
  </si>
  <si>
    <t>937b102d229a46df90b4cd17d198f9a6</t>
  </si>
  <si>
    <t>9382afea9ad5473093b480c0497488d0</t>
  </si>
  <si>
    <t>93ae987f09184b96bc006c1c5cc09acf</t>
  </si>
  <si>
    <t>93af95db1dfa4e5982799bf32387650c</t>
  </si>
  <si>
    <t>93ce94a8762d48f583c3ec6d2deb08b9</t>
  </si>
  <si>
    <t>94/22</t>
  </si>
  <si>
    <t>9412f16d10974c6998d46f349c28169c</t>
  </si>
  <si>
    <t>94b354a2237c4b1fab4846d1a652813e</t>
  </si>
  <si>
    <t>94ea040eb50a4a59be7a0e44d6502300</t>
  </si>
  <si>
    <t>95eee7115f844efb866f3cddaaa0d89a</t>
  </si>
  <si>
    <t>961fc9f4dffe42b697f98fab9e6a0eb3</t>
  </si>
  <si>
    <t>96288f898a8a49069752671419672ad2</t>
  </si>
  <si>
    <t>962db3fc53144e8fad1b88a8ca88d049</t>
  </si>
  <si>
    <t>964a188f02544837b22eca03c1576fe9</t>
  </si>
  <si>
    <t>978004c1882f42769ab2d2df0dd93a19</t>
  </si>
  <si>
    <t>97aa7fb7b24e46b4914b6ac884762805</t>
  </si>
  <si>
    <t>98110000-7 Послуги підприємницьких, професійних та спеціалізованих організацій</t>
  </si>
  <si>
    <t>9837f3ebc5cb4cf2b64d9f6efa4a2bce</t>
  </si>
  <si>
    <t>98390000-3 Інші послуги</t>
  </si>
  <si>
    <t>9898fad082334871ae838abdca65a022</t>
  </si>
  <si>
    <t>98da9b2cb36f403882be54021de6f6b1</t>
  </si>
  <si>
    <t>990a98f05b044b8c8cdbb85959c8fdc5</t>
  </si>
  <si>
    <t>9a0445ed77d24768bcc6ce22293b5447</t>
  </si>
  <si>
    <t>9b1ff194bbd744f690ef125069b08c14</t>
  </si>
  <si>
    <t>9b5fe3791d20496183137abd6ced24ef</t>
  </si>
  <si>
    <t>9b6791672162451ea1d6b022eb3cec0b</t>
  </si>
  <si>
    <t>9bd2e6a46e5141a78b08fdb7bc5fdf06</t>
  </si>
  <si>
    <t>9c2aae9a5e404030ae75f66cae7a589e</t>
  </si>
  <si>
    <t>9d72878054064157b67fb04adeb7052e</t>
  </si>
  <si>
    <t>9dc4f65ec0034f2fbd6a4e2fb30e3f28</t>
  </si>
  <si>
    <t>9e1c12e474d04db6bf9a33bbadd9f914</t>
  </si>
  <si>
    <t>9f04cd4db4e94ef59edbedb3680c2cb0</t>
  </si>
  <si>
    <t>9fcae6e120de4e5f9e81f8b038075fef</t>
  </si>
  <si>
    <t>9ff0ac4a5723457c9f31b653b225912f</t>
  </si>
  <si>
    <t>CDNR 042-Однокрильчата голка з гнучкою трубкою та Луер адаптером, Розмір 23G(код НК 024:2019-36257 Катетер венозний центральний, що вводиться периферично)</t>
  </si>
  <si>
    <t>CS6021T Щітка для чистки одноразова, комплект з 10 шт. до GI: i10/K10/90i/90K/70K/80K/85K/85-серій(НК 024:2019-038835 - Щітка для очищення ендоскопа, одноразового використання); CS-C9S Циліндрична щітка для чистки (Повітря/Вода, Відсмоктування, Канал, Вода/Струмінь)/ (Повітря/Вода, Всмоктування,) для GI i10/K10/90i/90K/70K/80K/85K/70/80/85-серій (НК 024:2019-035979 - Щітка для очищення ендоскопа, багаторазового використання)</t>
  </si>
  <si>
    <t>FIT SD Коліно розбірне 16х1/2в(15955); FIT SD Трійник розбірний 16-16-16(15957); FIT SD ориг.Муфта 16х1/2 р. внутрішня 15952; FIT SD ориг.Муфта 16х1/2 р. зовнішня 15953; SD Forte ніпель 1/2з х 1/2з SF35815 10729; SD Forte трійник 1/2 в-1/2в-1/2в SF36115 10771; Еко коліно 20-90* 10417; Еко коліно настінне установочне 20-1/2 р. в 10431; Еко муфта 20 ППР 10402; Еко муфта 20-1/2 МРВ 10408; Еко муфта 20-1/2 р. зов. ППР МР3 10412-10427; Еко муфта 32--1" МРВ; Еко трійник 20-20-20 ППР 10434; Коліно 25*25(ПНД,VS)4001; Коліно 50/45; Коліно 50/90; Лат.муфта -1/2в-1/2в (34) 10709; Муфта 25х1/2 внут.різ.(синя труба); Перехід патрубок (на чугун) 50х72 (без резинки) 28331; Редукція резинова 110х124 (перехід чуг.пласт); ТМ Перехід 3/4 В х 1/2Н SF3602015; Редукція резинова 50*25; Редукція резинова 50х75 (перехід з чавуна на пластік) 7336; Трійник 50/50/90</t>
  </si>
  <si>
    <t>Forte Кран кутовий(хрест) з керем, буксою SD 1/2х3/4 16960; SD Forte Американка пряма 1/2 SF190W15 8718; SD Forte заглушка 1/2 р.з SF35315 10696; SD Forte ніпель 1/2зх1/2з SF35315 10729; SD Кран Маєвск.білий ручний 1/2 SD211W15 3884; SD Кран поливочний 1/2 усил, SD140W15 8243; SD Кран шар. 1/2 в.в вода SD602W15 (5836); SD Кран шар. 1/2 з.в вода SD607W15 (5837); Кран водяний Karro Standart+B3 1/2"(червоний метелик); Кран водяний RS В3 3/4 (червоний метелик) нікель; Ремкомплект для змішувача Струмок; ТМ Футорка 1/2Вх3/4Н SF3742015</t>
  </si>
  <si>
    <t>ID контракту</t>
  </si>
  <si>
    <t>L-ЛІЗИНУ ЕСЦИНАТ®, розчин для ін'єкцій, 1 мг/мл по 5 мл в ампулі №10; АМІАК, розчин для зовнішнього застосування 10 % по 100 мл у флаконах; АМІНАЗИН, розчин для ін'єкцій, 25 мг/мл по 2 мл у ампулі №10; АМІТРИПТИЛІНУ ГІДРОХЛОРИД-ОЗ, розчин для ін'єкцій, 10 мг/мл по 2 мл в ампулі №10; БАРБОВАЛ®, краплі оральні по 25 мл у флаконі з пробкою-крапельницею; по 1 флакону в пачці з картону; БІПРОЛОЛ, таблетки по 5 мг №30; БОРНА КИСЛОТА, розчин для зовнішнього застосування, спиртовий 3 % по 20 мл у флаконах; ВЕРАПАМІЛ-ДАРНИЦЯ, розчин для ін'єкцій, 2,5 мг/мл по 2 мл в ампулі №10; ВІКАСОЛ-ДАРНИЦЯ, розчин для ін'єкцій, 10 мг/мл по 1 мл в ампулі №10; НІКОТИНОВА КИСЛОТА-ДАРНИЦЯ, розчин для ін'єкцій 10 мг/мл по 1 мл в ампулі №10; АСКОРБІНОВА КИСЛОТА-ДАРНИЦЯ, розчин для ін'єкцій, 50 мг/мл, по 2 мл в ампулі №10; ПІРИДОКСИН-ДАРНИЦЯ (ВІТАМІН В6-ДАРНИЦЯ), розчин для ін'єкцій, 50 мг/мл по 1 мл в ампулі №10; ЦІАНОКОБАЛАМІН (ВІТАМІН В12), розчин для ін'єкцій, 0,5 мг/мл по 1 мл в ампулі №10; ГЛУТАРГІН, концентрат для розчину для інфузій, 400 мг/мл  по 5 мл в ампулі №10; БРИЛЬЯНТОВИЙ ЗЕЛЕНИЙ, розчин для зовнішнього застосування, спиртовий 1 %, по 20 мл  у флаконах; ДІОКСИДИН, розчин, 10 мг/мл по 10 мл в ампулі №10; ЕСПУМІЗАН® L, краплі оральні, емульсія, 40 мг/мл по 30 мл  у флаконі з крапельницею-вставкою та пробкою; по 1 флакону в картонній коробці; ЙОДУ РОЗЧИН СПИРТОВИЙ 5 %, розчин для зовнішнього застосування, спиртовий 5 % по 20 мл у флаконі-крапельниці; по 1 флакону - крапельниці в пачці з картону; КОРГЛІКОН, розчин для ін'єкцій, 0,6 мг/мл, по 1 мл в ампулі №10; КОФЕЇН-БЕНЗОАТ НАТРІЮ, розчин для ін'єкцій, 200 мг/мл, по 1 мл в ампулі №10; МЕЗАТОН, розчин для ін'єкцій, 10 мг/мл по 1 мл в ампулі №10; ПЕРЕКИС ВОДНЮ, розчин для зовнішнього застосування 3 % по 100 мл у флаконах; ПРОЗЕРИН-ДАРНИЦЯ, розчин для ін'єкцій, 0,5 мг/мл по 1 мл в ампулі №10; ПІРАЦЕТАМ-ЗДОРОВ'Я, розчин для ін'єкцій, 200 мг/мл, по 10 мл в ампулі; №10; РЕНАЛГАН®, розчин для ін'єкцій по 5 мл в ампулі №5; СПИРТ МУРАШИНИЙ, розчин для зовнішнього застосування спиртовий, по 50 мл у флаконах; СТЕРОФУНДИН ISO, розчин для інфузій по 500 мл №10; СУПРАСТИН®, розчин для ін'єкцій, 20 мг/мл, по 1 мл в ампулі №5; ТРИСОЛЬ, розчин для інфузій по 200 млу пляшках; ТОРАСЕМІД-ДАРНИЦЯ, розчин для ін`єкцій, 20 мг/4 мл, по 4 мл в ампулі №5; НАТРІЮ ХЛОРИД - ДАРНИЦЯ, розчин для ін'єкцій, 9 мг/мл, по 5 мл в ампулі №10</t>
  </si>
  <si>
    <t>LED лампа LEBRON L-A60,8W,E27,4100K, 720Lm 11-11-14; LED лампа LEBRON L-C37,6W,220V,E27,4100K, 720Lm 11-13-50</t>
  </si>
  <si>
    <t>Neo Diluent C (*ізотонічний розчин Нео Ділюент C 20 L); Neo Lyse C (*лізуючий розчин Нео Лайз C 1 L); Neo Detergent C (*миючий розчин Нео Детергент C 20 L); Реагент Bio-Ksel System PT plus 5 x 8 ml / Біо-Ксель плюс протромбіновий час (ПЧ)</t>
  </si>
  <si>
    <t>POE коммутатор 4-портовий HongRui HR900-AF-42N; POE коммутатор 8-портовий HongRui HR900-AF-22N; PoE блок 48а TP-Link TL-PoE150S; SFP модуль FOXGATE SFP-1SM-1310 nm-3SC; SFP модуль FOXGATE SFP-1SM-1550 nm-3SC; медіаперетворювач HongRui HR900WS-GE</t>
  </si>
  <si>
    <t>Sviteco-PIP Daily Sanitary Cleaner (500мл) дезінфекційний засіб з Пробіотиками; Sviteco-PIP Daily Sanitary Cleaner (5л) дезінфекційний засіб з Пробіотиками; Sviteco - PIP Ultra (500мл) дезінфекційний засіб з Пробіотиками</t>
  </si>
  <si>
    <t>a024a8691a284c67b06b9d7a193f8117</t>
  </si>
  <si>
    <t>a034dbddbd9f49b9bf3504985124152f</t>
  </si>
  <si>
    <t>a09aa0e90cf948529793225c7ab45f1c</t>
  </si>
  <si>
    <t>a18ca5717cee4e1fb739b8de007d1bc0</t>
  </si>
  <si>
    <t>a1a6ec2543524ef8888c2d4d0d6c4089</t>
  </si>
  <si>
    <t>a2471baeabb3483f9c4d3dc6f80cc149</t>
  </si>
  <si>
    <t>a271b0031bf1430794dfa25f01dcad37</t>
  </si>
  <si>
    <t>a29eabe787d14ae1b9f43d2b4f1a62a5</t>
  </si>
  <si>
    <t>a355879c06a64e30b32c2e0d0b413c72</t>
  </si>
  <si>
    <t>a3719b09351a4891be1bd4342451eaf1</t>
  </si>
  <si>
    <t>a421a33a66114d6794e669aacf90eb35</t>
  </si>
  <si>
    <t>a4686eb88bb04acc905d5a7096c1874c</t>
  </si>
  <si>
    <t>a509139d39f04ae5bc6b5706824119a2</t>
  </si>
  <si>
    <t>a57012d0b136467aa45d40ad138f8204</t>
  </si>
  <si>
    <t>a58dd16634d54fb8b913ab555452b43c</t>
  </si>
  <si>
    <t>a5efdce3edf24980922187fc01e1ad5a</t>
  </si>
  <si>
    <t>a5fa0a0d82644f7b8402a37b493f4995</t>
  </si>
  <si>
    <t>a60fd561bcfd427bbc6783ac9a29547b</t>
  </si>
  <si>
    <t>a6f57d81fd1b44768ede65a5cc6f8869</t>
  </si>
  <si>
    <t>a763f44f2b6e41d7bb3c8a356b88cfcc</t>
  </si>
  <si>
    <t>aa4d472b157849959c69443dadfc0c57</t>
  </si>
  <si>
    <t>aa7681c0b1224fc982994f5b839437c6</t>
  </si>
  <si>
    <t>aa983cceb17241c9afd3e73a192a2620</t>
  </si>
  <si>
    <t>aab0b80f9abe4a85a04e89dc4afc1a84</t>
  </si>
  <si>
    <t>ab14fd13ee414d9ba0da5512ff4c7217</t>
  </si>
  <si>
    <t>ab39bf60293a48d5bd54b7add428e587</t>
  </si>
  <si>
    <t>ab71e4a7f67a428bafb419460e2cd55c</t>
  </si>
  <si>
    <t>abba93ccb10f4dfdbb0f8aa34d0f0672</t>
  </si>
  <si>
    <t>abc8db30cc914f40be742310cfdfa2df</t>
  </si>
  <si>
    <t>ac08b8e625264e428a7336a314602f38</t>
  </si>
  <si>
    <t>ac97da006444455a96af0dd3662c3028</t>
  </si>
  <si>
    <t>ad34df19d9504a5aa81cb6ba19cedb13</t>
  </si>
  <si>
    <t>ae095aa69e6348d2966536d68609df5d</t>
  </si>
  <si>
    <t>ae3e4389abba410f8cbcdf3ca87c2e5f</t>
  </si>
  <si>
    <t>af7059efb1fb42488646855505fffa9c</t>
  </si>
  <si>
    <t>af81caf2625c4f019702c97b07d707ba</t>
  </si>
  <si>
    <t>afa58504c2d54b3e8ca19f772b863e49</t>
  </si>
  <si>
    <t>afb8e51ee1e24c1bae6662b240e72f07</t>
  </si>
  <si>
    <t>b005a160860e4f3e805a52d57ad2ce2d</t>
  </si>
  <si>
    <t>b15a4532585b40cfa7a1aa1696b278d0</t>
  </si>
  <si>
    <t>b1c32ffb4d6243e09ee4e8684771d2b7</t>
  </si>
  <si>
    <t>b1f88b6d057448c19a54c2ee0306e7d7</t>
  </si>
  <si>
    <t>b28f1ae6fe834068867efdbf8dd87ebb</t>
  </si>
  <si>
    <t>b29d76c3a0774163bf60d8ad22366a88</t>
  </si>
  <si>
    <t>b2f7c94a79834932b9a9e60034b840fb</t>
  </si>
  <si>
    <t>b31eb377a36145b08e140e730075914b</t>
  </si>
  <si>
    <t>b3a1aba7a248474ebdbfdb64da15db97</t>
  </si>
  <si>
    <t>b3b37441510d441ebabe07d7af0eff37</t>
  </si>
  <si>
    <t>b3e54fd85877463e9a3917b233f4a380</t>
  </si>
  <si>
    <t>b48f1eb40a5e4599af4dfef8681b9b28</t>
  </si>
  <si>
    <t>b4c029feb5cf4100b613330867c87970</t>
  </si>
  <si>
    <t>b4c8537956fa45769544c38b310f404a</t>
  </si>
  <si>
    <t>b4f3775f3dc242a4a9dab1505dff46f4</t>
  </si>
  <si>
    <t>b50c9a0840434bf282b93d6654c18595</t>
  </si>
  <si>
    <t>b53d6bdac0ac406fb680f7d90ef10a18</t>
  </si>
  <si>
    <t>b53f64dda7a24c8d91aa4ff6ca8dfc48</t>
  </si>
  <si>
    <t>b5dd6c3ac0964170b7ba0f140879fc09</t>
  </si>
  <si>
    <t>b610552fcd554e7e8577bf7baf1b8912</t>
  </si>
  <si>
    <t>b649f3cfed1c4408b653620a7e4eb5de</t>
  </si>
  <si>
    <t>b6924f8b7b074c208b7c97292be3a1c0</t>
  </si>
  <si>
    <t>b6eae7cf19e645d28eb49f5ffd7ac801</t>
  </si>
  <si>
    <t>b736d94214e04094982f72342815e277</t>
  </si>
  <si>
    <t>b783026dd38d491399c2ab73fde0f135</t>
  </si>
  <si>
    <t>b7cd004089bb47fbbd8e661743e62203</t>
  </si>
  <si>
    <t>b7d9710410fc454bb31690666060e743</t>
  </si>
  <si>
    <t>b804e74bf9394149bf79d9aeaf6ba181</t>
  </si>
  <si>
    <t>b84ab43c15944af98db81ae0974dfa55</t>
  </si>
  <si>
    <t>b91c7f598ea3481bb6f22afae963580a</t>
  </si>
  <si>
    <t>b92482ffa55949b68a64364a2e9293e6</t>
  </si>
  <si>
    <t>b9538cb6e4234cd7b2db548387f61679</t>
  </si>
  <si>
    <t>b9a07aaef36d4f9980581e2a068fb052</t>
  </si>
  <si>
    <t>ba1a746940024fb4939a8cad07f41401</t>
  </si>
  <si>
    <t>ba422d064f3b40c3ba561cd17b75a348</t>
  </si>
  <si>
    <t>ba7b19d007db4b5a8d184329602c1366</t>
  </si>
  <si>
    <t>bb154dae3c8e4ebd9f2963120eeb06b1</t>
  </si>
  <si>
    <t>bb5dc18cef27460380336c80851aecc5</t>
  </si>
  <si>
    <t>bb65fb8678d54b1e89b4a3769d9b1f93</t>
  </si>
  <si>
    <t>bc0ed34ddf93403f985dcbd900ccd3c4</t>
  </si>
  <si>
    <t>bc2cecf518614e6c8059a572f3c76833</t>
  </si>
  <si>
    <t>bc4a4af18f1542e6851c79269b13c7d6</t>
  </si>
  <si>
    <t>bc5fdd8e181245d0bb1dcb2f1cddb278</t>
  </si>
  <si>
    <t>bcaf1066f4434598967c9c4064f76175</t>
  </si>
  <si>
    <t>bce899d982bb47a4b9112106927ff1b6</t>
  </si>
  <si>
    <t>bceb12a189de490c8cd1a5f1bfc0e115</t>
  </si>
  <si>
    <t>bd29907dc7d940c8b4c098219b20c4db</t>
  </si>
  <si>
    <t>bd8d395800dd41dcbdfc25e7d3f4be03</t>
  </si>
  <si>
    <t>bdeb2a3450974699a0aca892ea0b017c</t>
  </si>
  <si>
    <t>be38d73d6d1042c09b949af9b05d92ba</t>
  </si>
  <si>
    <t>be74da671bea4f30926c443a4eb073d0</t>
  </si>
  <si>
    <t>bec5ca4f4c7e4e19b03f07adc020d630</t>
  </si>
  <si>
    <t>bee0c253171748e5a62f392dd4585ed2</t>
  </si>
  <si>
    <t>bf37e06fe20f405b8425aed11d4a0411</t>
  </si>
  <si>
    <t>c05f4bb47e484e2199fc94ebcdcd0420</t>
  </si>
  <si>
    <t>c0a901fb8cd14b399dd90d9fa1f96d7b</t>
  </si>
  <si>
    <t>c101e28f1427486380edd51b900fc3ae</t>
  </si>
  <si>
    <t>c1b669dda348409e83dafadd33f84e3b</t>
  </si>
  <si>
    <t>c284c8a34636472dbc32b8c5c1f9186f</t>
  </si>
  <si>
    <t>c2a094168f5148a7a1bec67bfe255598</t>
  </si>
  <si>
    <t>c2a3968591be4d5585e6b708ab6b7cca</t>
  </si>
  <si>
    <t>c37f41e0291f49db95e2d2c90af73767</t>
  </si>
  <si>
    <t>c42b78b3423a4e8f8aa1cebc6addcb52</t>
  </si>
  <si>
    <t>c43defd597a54d458136ce569260e25c</t>
  </si>
  <si>
    <t>c451cf89505847bb8e6dd2d5003c8c91</t>
  </si>
  <si>
    <t>c4b3a3572eec44a682a053420b0b499b</t>
  </si>
  <si>
    <t>c51689ad608c4d96924e78c503330ea4</t>
  </si>
  <si>
    <t>c572aef2e972450e8e396ba5a6f9a6e2</t>
  </si>
  <si>
    <t>c62b19f111174445adf3cb94a0dcc358</t>
  </si>
  <si>
    <t>c6a1ef8c559149ac9d05c6435f81e8ad</t>
  </si>
  <si>
    <t>c7065176769e4241a097c837ad084149</t>
  </si>
  <si>
    <t>c7b982194c2f47c185f1c69a869c2c4f</t>
  </si>
  <si>
    <t>c879de61fe184ec0874e952c1385fe55</t>
  </si>
  <si>
    <t>c920af8bd1f54c009c57817ef975cf68</t>
  </si>
  <si>
    <t>c9cfe6d344cb43ae9358e4bdb7e6b3ce</t>
  </si>
  <si>
    <t>c9f7ef77e8164487bd1d54ae5f321ec9</t>
  </si>
  <si>
    <t>ca682906f90e45258a0736983c83028a</t>
  </si>
  <si>
    <t>cb37b6428802431c808eb654969e25d9</t>
  </si>
  <si>
    <t>cb3851b0056b4b2bb1930df7dd453db0</t>
  </si>
  <si>
    <t>cb58df69470e4ee6995951bb187603f2</t>
  </si>
  <si>
    <t>cba6da468def4994a5c0f5b584e37b10</t>
  </si>
  <si>
    <t>cbc52bd510444196996d7cbaf2fa2602</t>
  </si>
  <si>
    <t>cc3919eb83aa4b208f2de01abdcf91d9</t>
  </si>
  <si>
    <t>cc9e133f9b06480286f8b84912e30f5b</t>
  </si>
  <si>
    <t>cc9fcad8482d4d7ab56df0be0315e1e0</t>
  </si>
  <si>
    <t>ccd670688788493c834c235142f1c850</t>
  </si>
  <si>
    <t>cd139475f5434f359a60eb24880a77f6</t>
  </si>
  <si>
    <t>cd48a5d29e644c4ca141f0e8c7335e15</t>
  </si>
  <si>
    <t>cd70714fe9594425964338fd630bc909</t>
  </si>
  <si>
    <t>cd9d710c4874468897204fb2cdc3b33d</t>
  </si>
  <si>
    <t>cdda713e67464879ad04d9345117cd27</t>
  </si>
  <si>
    <t>ce1b178618dd42989d2a6e295fc0dde1</t>
  </si>
  <si>
    <t>ce312b85a85449d080785fe385c56a24</t>
  </si>
  <si>
    <t>ce8ec2d58da1423a83ebff0801332c47</t>
  </si>
  <si>
    <t>ceb1975b6b614445a86a312c78e1c11d</t>
  </si>
  <si>
    <t>ceb439cdd3964129a35920b7d0dd97d9</t>
  </si>
  <si>
    <t>ceda79ac4fdb43c6b7e808d4bc50eb2d</t>
  </si>
  <si>
    <t>cf58e8ee2a0348d0baf5c4548771fae0</t>
  </si>
  <si>
    <t>cf84fcdf6b3245339bb21f872eace918</t>
  </si>
  <si>
    <t>cfd28bf7c3ff4f17be19ebda95fafaea</t>
  </si>
  <si>
    <t>cfd655b1c40b4a3f9b879939d08fa507</t>
  </si>
  <si>
    <t>cfebd57754ea4811b7e88648f99d5b1a</t>
  </si>
  <si>
    <t>d08c41b350394512bdf15fd0ae14f271</t>
  </si>
  <si>
    <t>d10e71771b714485b7d64908e84121e2</t>
  </si>
  <si>
    <t>d15f4ee03bab468bbf593dda30d7079d</t>
  </si>
  <si>
    <t>d228a5551fc7420391e33c15eab86203</t>
  </si>
  <si>
    <t>d23d286079cc41f78bd47cd1ef806ba9</t>
  </si>
  <si>
    <t>d2969178e2ad4ad18c11fb5b0b8e89c2</t>
  </si>
  <si>
    <t>d38424fdf3f845cdb73b357d3a250813</t>
  </si>
  <si>
    <t>d41160bb2735456098b52f4d9bef686e</t>
  </si>
  <si>
    <t>d45218a1855f40ae83d1091f4460a2f2</t>
  </si>
  <si>
    <t>d489030753164b339c52879a8744e1d4</t>
  </si>
  <si>
    <t>d4f1b1a40cdd41d898c18ebe73fc69cb</t>
  </si>
  <si>
    <t>d51664a1c1bf4a9aa6aa53c4bd306e06</t>
  </si>
  <si>
    <t>d5ff0bc545f14ad49aa570a3d35e9849</t>
  </si>
  <si>
    <t>d616a2a093ab4d24a902c7848c8884a3</t>
  </si>
  <si>
    <t>d6d51497372643ceba7cae194279f566</t>
  </si>
  <si>
    <t>d6d7037717e04ea699666a2e15ebbd22</t>
  </si>
  <si>
    <t>d715078a516e44f485a40182a0ff46b1</t>
  </si>
  <si>
    <t>d7389a0623054fca90cb967ce73c0d14</t>
  </si>
  <si>
    <t>d7cf198e751e43b783290cb988b5553a</t>
  </si>
  <si>
    <t>d854d65d989046c0890ed44f236e9d02</t>
  </si>
  <si>
    <t>d888c01b12fe46348fd66752241ac8e3</t>
  </si>
  <si>
    <t>d894144158e54b9ba51611cf779318ce</t>
  </si>
  <si>
    <t>d8b9c3b8fd3b41a1b489e72e29c07141</t>
  </si>
  <si>
    <t>d8c5355ea3784e13a1eb13d1ab07791f</t>
  </si>
  <si>
    <t>d93e3a90ba994cd0addb817865abc78b</t>
  </si>
  <si>
    <t>d96a73933bc142abb5a428179a9d62b4</t>
  </si>
  <si>
    <t>d9d92229011040beb0e8bacbe1d3d7b6</t>
  </si>
  <si>
    <t>da0c1405b5cc40f697371de0a47df4ab</t>
  </si>
  <si>
    <t>daa030ea55af4293b66df9854a6cf2f1</t>
  </si>
  <si>
    <t>daa3b9a6bd3d40358857d98121467cfc</t>
  </si>
  <si>
    <t>dc3a4950e31946f3b1ed154621bd4330</t>
  </si>
  <si>
    <t>dc7b86f7a7694535a7c96ba1e60074e3</t>
  </si>
  <si>
    <t>dcacca39f1f7486395110575f1fd16cb</t>
  </si>
  <si>
    <t>dd09c45ff6c34fc39da8faf888970e4e</t>
  </si>
  <si>
    <t>dd3775eacd55403786ab681554bd7689</t>
  </si>
  <si>
    <t>dd4bf6250f434b12a5db2279abfd6362</t>
  </si>
  <si>
    <t>dda952e9390a4de280569aa1f955fcec</t>
  </si>
  <si>
    <t>ddbb6a8674af445fa867ca0af8fdf48a</t>
  </si>
  <si>
    <t>de0138c1a16d4fa7a91af5ff35893f0a</t>
  </si>
  <si>
    <t>de075fa8122e4118bf9830d03b1f89aa</t>
  </si>
  <si>
    <t>de0a581ed05244a6badd15670a6a6cae</t>
  </si>
  <si>
    <t>de2c7b8a4f8e4771991b4e53d01d9d9e</t>
  </si>
  <si>
    <t>de42c036c24c458fb91745fdf8ce210c</t>
  </si>
  <si>
    <t>de64fd5fca4041eeb5cd1275969b0dc7</t>
  </si>
  <si>
    <t>de7fe4b0728f412aa9cee632502b6985</t>
  </si>
  <si>
    <t>dee9b03f53a54966be28393a023359c6</t>
  </si>
  <si>
    <t>df34813721f34508affc83345a2a41d0</t>
  </si>
  <si>
    <t>df5fad612eab48be9a38b0c9a828cb4b</t>
  </si>
  <si>
    <t>df7e0cd66dfa4c69be182d33b3abedf1</t>
  </si>
  <si>
    <t>df9427ce36c94ef485032576f8212903</t>
  </si>
  <si>
    <t>dfb39fa23e634442abd008226a56024a</t>
  </si>
  <si>
    <t>dff327e911034bf7bc347227bf87c994</t>
  </si>
  <si>
    <t>e0924fca3d744479a8edd71970f57105</t>
  </si>
  <si>
    <t>e09c6921205d485798969e85ce988a8d</t>
  </si>
  <si>
    <t>e0aab63bd7fe491f8800f11620890873</t>
  </si>
  <si>
    <t>e0b35497dffe4f6c8554a592448bd1d3</t>
  </si>
  <si>
    <t>e0c1c77e979347cc83652e09f5add553</t>
  </si>
  <si>
    <t>e154ebb702814b42ba6799d53c4fac47</t>
  </si>
  <si>
    <t>e19693bc334642729a585e9d9ec0f530</t>
  </si>
  <si>
    <t>e1a2efb824fe44eaae4e3bf777eca54f</t>
  </si>
  <si>
    <t>e1f6ae28c08a4b28a96a02c0ab850e8e</t>
  </si>
  <si>
    <t>e225213b473d4554aeda1b80a86a9a22</t>
  </si>
  <si>
    <t>e231f0ac6985406ea2ad37879009ac86</t>
  </si>
  <si>
    <t>e259ef5dadbb4726ae039cb6995b6946</t>
  </si>
  <si>
    <t>e2897c8681164c54843268810dafcae4</t>
  </si>
  <si>
    <t>e2e733b0bca44f749876d297609bf70f</t>
  </si>
  <si>
    <t>e30df7f6b47b4d9b9495ae574596dd03</t>
  </si>
  <si>
    <t>e33e45fb50c54e358317396f6d12f065</t>
  </si>
  <si>
    <t>e3467f9ead7a4629ba1d0d9d2ec282c4</t>
  </si>
  <si>
    <t>e37175bee68445a896416c43035779b5</t>
  </si>
  <si>
    <t>e3965258f5af4b45b88897e711245315</t>
  </si>
  <si>
    <t>e3d123853009490989ff742187465fc0</t>
  </si>
  <si>
    <t>e4169f30dc554d059c6cdf95b8192c49</t>
  </si>
  <si>
    <t>e427eac7242e44b28870649b36b7f310</t>
  </si>
  <si>
    <t>e48cb1b8972c4fb688c513587e24f9d7</t>
  </si>
  <si>
    <t>e4c1e637d8634603abf4db65d29fa932</t>
  </si>
  <si>
    <t>e4ebfc765270482ca49111ee4a07a4d8</t>
  </si>
  <si>
    <t>e52711ec643a45b7b68d7a9409521a5c</t>
  </si>
  <si>
    <t>e54720105446439ea9efe80fee869afd</t>
  </si>
  <si>
    <t>e56efdffbf994a06839e8ee1a5c0d30b</t>
  </si>
  <si>
    <t>e59421439013443d81ed3d2aae387c57</t>
  </si>
  <si>
    <t>e73049c48b3945ffbb176f0f7f6e9b90</t>
  </si>
  <si>
    <t>e7aaad9a18c3490da234dec294e7591a</t>
  </si>
  <si>
    <t>e7b4304ec0ee437896ae30b1e5b36294</t>
  </si>
  <si>
    <t>e7c27f12022148d8b24244caecb16ef0</t>
  </si>
  <si>
    <t>e7c2e076b6ae4648b8f76672505a82c0</t>
  </si>
  <si>
    <t>e7d3e2c339e140af83b5e274b440a6d1</t>
  </si>
  <si>
    <t>e7dee9d02f6045149a62810b76e7208d</t>
  </si>
  <si>
    <t>e8362b00b51d443c9f96f17b3c15928c</t>
  </si>
  <si>
    <t>e8ac7ab400e14d7e933bdc7e5948d6c1</t>
  </si>
  <si>
    <t>e8dc66bdf454488aa596f59b69b2fcd9</t>
  </si>
  <si>
    <t>e8e165e22f63452fa4d025b13c7625dd</t>
  </si>
  <si>
    <t>e8ec3669450c4dd2b93264d437edbd14</t>
  </si>
  <si>
    <t>e9255b86c31f4946803badfe6e1774d8</t>
  </si>
  <si>
    <t>e92d2c5d30ef4fe297bfbd3fb70cb29d</t>
  </si>
  <si>
    <t>e94b25ac5f6944b88bad393c11720f44</t>
  </si>
  <si>
    <t>e999c70d83824892a7adc5aeacfb922c</t>
  </si>
  <si>
    <t>e9cdb2188ea04228939fe6e4f666b194</t>
  </si>
  <si>
    <t>e9e395c3fd274b608ba8057f3f562f06</t>
  </si>
  <si>
    <t>ea0fd9bce2564c7c9a318b461acd013f</t>
  </si>
  <si>
    <t>ea65acf72b554933845ee7ecf0c9dd04</t>
  </si>
  <si>
    <t>ea6bc64172a44be1ad8ce9272349965d</t>
  </si>
  <si>
    <t>ea9a3ec5b4264131881f26227108f8e6</t>
  </si>
  <si>
    <t>eb43fd8ee3c14cd68ccff2be02f6441a</t>
  </si>
  <si>
    <t>eb8edaaf4a6a4f2690ecd450e974d6ed</t>
  </si>
  <si>
    <t>ec00c95389934ca1984541969ca4ae63</t>
  </si>
  <si>
    <t>ec2acab00f2d4e668cbdc1d3033b125d</t>
  </si>
  <si>
    <t>ec68e38cdbe8451c8975f605e0312106</t>
  </si>
  <si>
    <t>ed76d6562f7d45d0862de783514e6dca</t>
  </si>
  <si>
    <t>edac375087df42289e55c49dd18b88ca</t>
  </si>
  <si>
    <t>ee063ba98d214e8b99831b47f9369539</t>
  </si>
  <si>
    <t>ee0e596151f84f47b31f48744efac6f5</t>
  </si>
  <si>
    <t>ee73d43181c04dacba54b54167ff8e01</t>
  </si>
  <si>
    <t>eef80a7a5efa4bf0890bb918febbdd9a</t>
  </si>
  <si>
    <t>efd7a632d15a489382c4269d5579d0ef</t>
  </si>
  <si>
    <t>f004db6d389e4c24ae7230849d2b5733</t>
  </si>
  <si>
    <t>f02f975ab7c34413ab806fd3ba24c5b3</t>
  </si>
  <si>
    <t>f0be7dbadbd14da586b3f2a62b324d06</t>
  </si>
  <si>
    <t>f0ff2a71c8264204b4d094c31bc444f0</t>
  </si>
  <si>
    <t>f17fc5d70233448a9de495b06248db1a</t>
  </si>
  <si>
    <t>f236ae9fe1f144efa47d5ec9c4b8306f</t>
  </si>
  <si>
    <t>f26af2ec95b94ac7a51927a642423a3b</t>
  </si>
  <si>
    <t>f2d9c7b5bdc54dc4bff176308d57d074</t>
  </si>
  <si>
    <t>f2eabb5029a54a33bb28adbd8f43beae</t>
  </si>
  <si>
    <t>f32a6c1658984a989ec7759d0d11d417</t>
  </si>
  <si>
    <t>f332d2f13e044786a001c1249097d79d</t>
  </si>
  <si>
    <t>f3910222e6b04da79f5cf478b5e69d90</t>
  </si>
  <si>
    <t>f3a6b0713ab84a5e89dd3c2d91a91eba</t>
  </si>
  <si>
    <t>f42c54c5f1a144b88c4bcee42335adcc</t>
  </si>
  <si>
    <t>f4b7c33c2103484bbcf30352af76bb55</t>
  </si>
  <si>
    <t>f4fbcccae339434c985f424befbab85e</t>
  </si>
  <si>
    <t>f50402c6837f47a384ce872277034e71</t>
  </si>
  <si>
    <t>f53867db2c744ee4ab23a64a6b3133f8</t>
  </si>
  <si>
    <t>f57ba5c080694e8897aba62a62af97ec</t>
  </si>
  <si>
    <t>f5b6b9f8345f4771be945d24617a0939</t>
  </si>
  <si>
    <t>f5dbc85802294efca938af12fa070670</t>
  </si>
  <si>
    <t>f6199ed5a27b4a0eb82e5d6543399bdb</t>
  </si>
  <si>
    <t>f62c2c4ebf834ff9ae03f8eb911dc74f</t>
  </si>
  <si>
    <t>f6502eb13569434683694976a2e8667e</t>
  </si>
  <si>
    <t>f68a706cbd92400aba032b56118ca071</t>
  </si>
  <si>
    <t>f7082f21366149e4b1466c6807071499</t>
  </si>
  <si>
    <t>f74feec2483b430bbe8b377fb80cc266</t>
  </si>
  <si>
    <t>f77808bb1ef3451b87704c2a19b7de5e</t>
  </si>
  <si>
    <t>f782325ef7374ab69f07080726aad355</t>
  </si>
  <si>
    <t>f78c4ca8ce8a45ce93c3876e4c153393</t>
  </si>
  <si>
    <t>f78d41ef459a4ace95f2da9f2dc8d136</t>
  </si>
  <si>
    <t>f7a6a84ed4544620bc84c1099def50ec</t>
  </si>
  <si>
    <t>f8d0f19b880f4be2ae8a58f2f894392d</t>
  </si>
  <si>
    <t>f8fb5e88744546969b4dd5fd149cc0aa</t>
  </si>
  <si>
    <t>fa276b320c0c4a0cac02763097c62c9c</t>
  </si>
  <si>
    <t>fb4715532c41422094fc06300512974e</t>
  </si>
  <si>
    <t>fb59ef50843e46aab584d5231d40b154</t>
  </si>
  <si>
    <t>fb79dea2e7f249bc9d934cd90a3495da</t>
  </si>
  <si>
    <t>fbcb87f8885d4d16a81603b9827a2bef</t>
  </si>
  <si>
    <t>fc3a3bb317ef4d8e9af78c31ef3aa11f</t>
  </si>
  <si>
    <t>fcfe94b866344e0c906011bf33a6201d</t>
  </si>
  <si>
    <t>fcfebb0bd95a4600a8425c4e5927fb2d</t>
  </si>
  <si>
    <t>fd7972a1d2f84750b8c70706db0beff3</t>
  </si>
  <si>
    <t>fdba2bae7541430996baa4e177556a74</t>
  </si>
  <si>
    <t>fddb63378621403c90b6fab2903e1b79</t>
  </si>
  <si>
    <t>fe3c102efa3941c1b889a9fc52669e95</t>
  </si>
  <si>
    <t>fe55046ea00f4d2cab785d64fdb57337</t>
  </si>
  <si>
    <t>fe68364d948044f7952cdb911d754f6b</t>
  </si>
  <si>
    <t>feb210cbe5ce4d559ca5114cf9ca59ac</t>
  </si>
  <si>
    <t>fec3e17743a8432cb27ac50d761677f7</t>
  </si>
  <si>
    <t>ff30f548bd594b07ad234516c1a09d19</t>
  </si>
  <si>
    <t>ff9676aaa7eb498eba9d4781d8275afd</t>
  </si>
  <si>
    <t>ffadcf4916924bd9b9c33c9191397648</t>
  </si>
  <si>
    <t>ffccb0005c9e452c8da9db5930c8d6bf</t>
  </si>
  <si>
    <t>iDia Система моніторингу рівня глюкози в крові( код НК024:2019-58168 Система контролю рівня глюкози в крові / кетонів ІВД для домашнього використання / пункті догляду)</t>
  </si>
  <si>
    <t>report.zakupki@prom.ua</t>
  </si>
  <si>
    <t>«Код ДК 021:2015 -48810000-9 Інформаційні системи (Послуги з надання доступу та використання функціоналу медичної інформаційної системи Askep.net)»</t>
  </si>
  <si>
    <t>ЄДРПОУ переможця</t>
  </si>
  <si>
    <t>Ємкість-контейнер  полімерний для дезенф. та передстер. обробки мед.вир.10-л зі зливом (код НК024:2019-13730 Стерилізаційний контейнер)</t>
  </si>
  <si>
    <t>Ємкість-контейнер  полімерний для дезенф. та передстер. обробки мед.вир.5л(код НК 024:2019-13730 Стерилізаційний контейнер); Ємкість-контейнер  полімерний для дезенф. та передстер. обробки мед.вир.10-л(код НК024:2019-13730 Стерилізаційний контейнер); Ємкість-контейнер  полімерний для дезенф. та передстер. обробки мед.вир.10-л зі зливом(код НК024:2019-13730 Стерилізаційний контейнер)</t>
  </si>
  <si>
    <t>ІНФУЛГАН, розчин для інфузій 10мг/мл; по 100 мл в пляшці; по 1 пляшці в пачці з картону; Магнію сульфат розчин для ін'єкцій 250 мг/мл по 5 мл в ампулі №10; Натрію хлорид, розчин для інфузій 9 мг/мл по 200 мл у пляшках; Розчин Рінгера розчин для інфузій по 200 мл; САНГЕРА, розчин для ін'єкцій, 100 мг/мл по 5 мл в ампулі №5</t>
  </si>
  <si>
    <t>Ідентифікатор договору (Використовується при звітуванні у E-data)</t>
  </si>
  <si>
    <t>Ідентифікатор закупівлі</t>
  </si>
  <si>
    <t>Ідентифікатор лота</t>
  </si>
  <si>
    <t>Ізолента 21м.Асорті</t>
  </si>
  <si>
    <t>Ізострічка</t>
  </si>
  <si>
    <t>Індіраб пор. ліоф. д/п ін. р-ну 2,5 МО/1 доза 0,5 мл №1- t`</t>
  </si>
  <si>
    <t>Інфулган розчин для інфузій 10 мг/мл по 100 мл; Натрію хлорид розчин для інфузій 9 мг/мл по 200 мл; Розчин Рінгера розчин для інфузій  по 200 мл</t>
  </si>
  <si>
    <t>А В Е Р С</t>
  </si>
  <si>
    <t>А-ЕНЕРГО</t>
  </si>
  <si>
    <t>А3 інформована згода офсет; А3 усвід згод особ на госп до психзак_оф;  А3 усвід згод особ на лікув у психізакл_оф; А3 подорожнійй лист служб лег авто_офсет</t>
  </si>
  <si>
    <t>АГАЄВ ПАВЛО ОЛЕКСАНДРОВИЧ</t>
  </si>
  <si>
    <t>АКЦІОНЕРНЕ ТОВАРИСТВО "ЛЬВІВСЬКИЙ ХІМІЧНИЙ ЗАВОД"</t>
  </si>
  <si>
    <t>АКЦІОНЕРНЕ ТОВАРИСТВО "ЛЬВІВСЬКИЙ ХІМІЧНИЙ ЗАВОД" (кінцевий бенефіціарний власник-БОБРИШОВ А.М., м. Львів, вул.Колійна, 6, БОБРИШОВА К.А., м. Львів, вул.Бережанська, будинок15А.)</t>
  </si>
  <si>
    <t>АКЦІОНЕРНЕ ТОВАРИСТВО "ОПЕРАТОР ГАЗОРОЗПОДІЛЬНОЇ СИСТЕМИ  "ЛЬВІВГАЗ"</t>
  </si>
  <si>
    <t>АКЦІОНЕРНЕ ТОВАРИСТВО "УКРТЕЛЕКОМ"</t>
  </si>
  <si>
    <t>Абсорбент Ventisorb кан.4,5кг від білого до фіол</t>
  </si>
  <si>
    <t>Автомат 3 полюсний 40А Schneider; Вимик.авт.АСКО 1р/16А типС</t>
  </si>
  <si>
    <t>Адреналін - Дарниця р-н д/ін. 1,8 мг/мл амп.1 мл, контурн. чарунк. уп., пачка №10; Аміназин-Здоров'я табл. в/о 25 мг блістер, у коробці №20; Амоксиклав пор. д/р-ну д/ін.1000 мг + 200 мг фл.№5; Амоксиклав 2х табл. 875 мг + 125 мг №14; Натрію аденозинтрифосфат-Дарниця р-н д/ін. 10 мг/мл амп. 1 мл контурн. чарунк. уп., пачка №10; Аритміл р-н д/ін. 50 мг/мл амп. 3 мл, у касеті у пачці №5; Вомікайнд р-н д/ін. 2 мг/мл амп. 2 мл №4; Вомікайнд р-н д/ін. 2 мг/мл амп. 4 мл №4; Тіаміду хлорид-Дарниця(вітамін В1 Дарниця) р-н д/ін. 50 мг/мл амп. 1 мл,контурн. чарунк.уп., пачка №10; Галоперидол-Ріхтер р-н д/ін. 5 мг амп. 1 мл №5; Кордарон р-н д/ін. 50 мг/мл амп. 3 мл №6; Лідокаїн-Дарниця р-н д/ін. 20 мг/мл амп.2 мл, контурн. чарунк. уп., №10; Магнію сульфат-Дарниця р-н д/ін. 250 мг/мл амп. 5 мл,контурн. чарунк. уп. №10; Метрогіл р-н д/інф. 500 мг фл. 100 мл №1; Метоклопраміду гідрохлорид р-н д/ін. 5 мг/мл амп. 2 мл,у касеті у пачці №10; Медаксон пор. д/п ін. р-ну 1г фл. №10; Медаксон пор. д/п ін. р-ну 2г фл. №10; Медоклав пор. д/п р-ну д/ін. та инф. 1000 мг + 200 мг фл.№10; Омез ліофіл. д/п р-ну д/ін. 40 мг фл. №1; Омепразол-Фармак пор. д/р-ну д/інф. 40 мг фл. №1; Преднізолон-Дарниця р-н д/ін. 30 мг/мл амп. 1 мл, контурн. чарунк. уп., пачка №5; Натрію хлориду розчин 0,9% р-н д/інф. 0,9% пляшка 100 мл №1; Цефтриаксон-Дарниця пор. д/р-ну д/ін. 1 г фл. №5</t>
  </si>
  <si>
    <t>Азалептол табл. 25 мг контейнер №50; Адажио табл. в/плівк. обол. 10 мг блістер №30; Аміодарон-Дарниця табл. 200 мг контурн. чарунк. уп., в пачці №30; Амітриптилін табл. в/о 25 мг блістер №50; Актовегін р-н д/ін. 40мг/мл 200мг амп. 5мл №5; Альбендазол табл. жув. 400 мг блістер №3; Аспаркам р-н д/ін. амп. 5 мл, блістер у пачці №10; Аерофілін табл. 400мг №20; Аргітек р-н д/інф. 8 мг/мл фл. 250 мл №1; Арипразол табл. 10 мг блістер №60; Бетадин р-н д/зовн. та місц. застос. 10 % фл. з крапельн. 120 мл №1; Бетадин р-н д/зовн. та місц. застос. 10 % фл. з крапельн. 1000 мл №1; Вальпроком 300 Хроно табл. пролонг. в/плівк. обол. 300 мг блістер, в пачці №100; Венлафаксин-ЗН табл. 75 мг блістер №30; Герпевір табл. 400 мг блістер №10; Гіацинтія табл. в/плівк. обол. 10 мг блістер у пачці №30; Гіоксизон мазь туба 15 г №1; Гідазепам ІС® табл. 0,02 г блістер №20; Глюкоза р-н д/ін. 40 % амп. 10 мл №10; Діаліпон р-н д/інф. 3 % амп. 20 мл, блістер у пачці №5; Доксепін-ЗН капс. тверд. 25 мг блістер №30; Диклофенак натрію  р-н д/ін. 2,5 % амп. 3 мл, блістер №10; Дибазол-Дарниця р-н д/ін. 10 мг/мл амп. 1 мл, контурн. чарунк. yп., пачка №10; Дибазол-Дарниця р-н д/ін. 10 мг/мл амп. 5 мл, контурн. чарунк. yп., пачка №10; Дротаверин-Дарниця р-н д/ін. 20 мг/мл амп. 2 мл, контурн. чарунк. yп., пачка №5; Ентеросгель паста д/перорал. застос. пакет 15 г №15; Еголанза табл. в/плівк. обол. 10 мг блістер №28; Йоддицерин р-н нашкірний фл. 25 мл №1; Каптопрес-Дарниця табл. контурн. чарунк. уп. №20; Кветирон 25 табл. в/плівк. обол. 25 мг №30; Кветирон 100 табл. в/плівк. обол. 100 мг №30; Клопіксол-Акуфаз р-н д/ін. 50 мг/мл амп. 1 мл №10; Корвалмент капс. м'які 0,1 г блістер №30; Лактулоза сироп 670 мг/мл банка 200 мл, з мірн. стаканчиком №1; Лідаза-Біофарма пор. д/р-ну д/ін. 64 ОД фл., блістер у пачці №10; Левомеколь мазь туба 40 г №1; Лідокаїн-Здоров'я  спрей д/місцев. застос. 10 % фл. 38 г, з насадк.-розп. №1; Бальзамічний Лінімент (За Вишневським) лінімент туба 40 г №1; Меверин капс. 200 мг блістер, в пачці №30; Мікролакс р-н рект. туба 5мл №4; Міасер табл. в/плівк. обол. 30 мг блістер №20; Міртазапін Сандоз табл. 30мг №20; Натрію тіосульфат-Дарниця р-н д/ін. 300 мг/мл амп. 5 мл, контурн. чарунк. yп., пачка №10; Ніфуроксазид табл. в/плівк. обол. 200 мг блістер у пачці №20; Новокаїн-Дарниця р-н д/ін. 20 мг/мл амп. 2 мл, контурн. чарунк. yп., пачка №10; Нормагут капс. блістер №10; Пантопразол-Гетеро табл. гастрорезист. 40 мг блістер №30; Пантенол мазь 50 мг/г туба 30 г №1; Пантенол аерозоль піна нашкірна контейнер 116 г №1; Папаверин-Дарниця р-н д/ін. 20 мг/мл амп. 2 мл, контурн. чарунк. yп., пачка №10; Платифілін-Дарниця р-н д/ін. 2 мг/мл амп. 1 мл, контурн. чарунк. yп., пачка №10; Пентоксифілін-Дарниця р-н д/ін. 20 мг/мл амп. 5 мл, контурн. чарунк. yп., пачка №10; Перметрин р-н нашкірний 0,5% фл. 50мл №1; Прегабалін-Дарниця капс. 75 мг контурн. чарунк. уп. №14; Полідекса з фенілефріном спрей д/носу фл. 15мл №1; Полідекса кр. вуш. 10,5мл №1; Рибоксин р-н д/ін. 20 мг/мл амп. 5 мл, пачка №10; Синтоміцин лінімент 5 % туба 25 г №1; Солерон 200  табл. 200 мг блістер №60; Сульпірид-ЗН р-н д/ін. 50мг/мл амп. 2мл №10; Сульпірид-ЗН табл. 50мг №30; Триттіко табл. пролонг. дії 75 мг блістер №30; Тизерцин табл. в/о 25 мг фл. №50; Тизерцин р-н д/ін. 25 мг амп. 1 мл №10; Урсохол капс. 250 мг контурн. чарунк. уп. №100; Фармасулін® H р-н д/ін. 100 МО/мл фл. 10 мл №1; Фромілід табл. в/плівк. обол. 500 мг блістер №14; Хлоргексидин р-н д/зовн. застос. 0,05 % фл. з кришкою-крапельницею 100 мл №1; Беноксі крап. оч. 0,4 % контейнер-крапельн. 10 мл №1; Алмірал р-н д/ін. 75 мг амп. 3 мл №5; Бускопан р-н д/ін 20мг амп 1мл №5; Диклодев р-н д/ін. 25 мг/мл амп. 3 мл №5; Ентерол капс. 250мг N10; Ізіклін конц. д/орал. р-ну пляшка 176 мл №2; Кордіамін-Здоров'я р-н д/ін. 250 мг/мл амп. 2 мл, коробка №10; Муцитус капс. 300мг №12; Рефордез-Новофарм р-н д/інф. 60 мг/мл пляшка 400 мл №1; Тіотриазолін р-н д/ін. 25 мг/мл амп. 2 мл №10; Фурацилін табл. д/п р-ну д/зовн. застос. 20 мг блістер №20</t>
  </si>
  <si>
    <t>Акумулятор 6СТ-100 ТОР CAR Premium Аз (0)</t>
  </si>
  <si>
    <t>Акумулятор 6СТ-60 ТОР CAR Аз (1)</t>
  </si>
  <si>
    <t>Аланінамінотрансфераза; Аспартатамінотрасфераза; Холестерин загальний; Загальний білок; Сечовина; α-Амілаза; Білірубін Загальний; Білірубин Прямий; Креатинін - SOX; Сечова кислота; Альбумін; C-реактивний білок; Глюкоза; Калібратор СРБ; Калібратор ліпіди, APOA1; APOB; HDLC; LDLC; Феритин; Мультикалібратор; Мультіконтроль ClinChem (level 1); Очищуючий розчин CD-80; Холестерин високої щільності; Холестерин низької щільності; Тригліцериди; Смужки діагностичні для аналізатора сечі на 11 параметрів, 11G, 100 шт/упак; Реагент-пак ST-200 CC Reagent Pack - ABGEM (800ml+200ml+500ml)+1(Glu/Lac) Electrode- ABGEM для  Аналізатора газів крові та електролітів ST-200 CC Blood Gas Analyzer - ABGEM; Контролі газів Sensa Stat Blood Gas Controls (TriLevel) – ABGEM  для  Аналізатора газів крові та електролітів ST-200 CC Blood Gas Analyzer - ABGEM; Миючий розчин Sensa Daily Cleaning Solution – ABGEM  для  Аналізатора газів крові та електролітів ST-200 CC Blood Gas Analyzer - ABGEM; F1006 Експрес-тест D-Dimer Fast Test Kit (Immunofluorescence Assay), 25 шт./уп.; IF1007 Експрес-тест PCT Fast Test Kit(Immunofluorescence Assay), 25 шт./уп.; IF1001 Експрес-тест Cardiac Troponin I (імунофлуоресценція), 25 шт/уп.; IF1013 Експрес-тест HCG+β, хоріонічний гонадотропін  (імунофлуоресценція), 25 шт/уп.; IF1050 Експрес-тест AFP, альфафетопротеїн  (імунофлуоресценція), 25 шт/уп.; IF1042 Експрес-тест FOB, прихована кров в калі (імунофлуоресценція), 25 шт/уп.; IF1031 Експрес-тест 25-OH-VD, вітамін Д (імунофлуоресценція), 25 шт/уп.; DIA-SARS-CoV-2-NP-IgМ  Тест-система імуноферментна; DIA-SARS-CoV-2-NP-IgG Тест-система імуноферментна</t>
  </si>
  <si>
    <t>Алмірал р-н д/ін. 75 мг амп. 3 мл №10; Аміак р-н д/зовн. застос. 10 % фл. 40 мл №1; Аміназин р-н д/ін. 25 мг/мл амп. 2 мл, у блістері в коробці №10; Кислота амінокапронова р-н д/інф. 5 % пляшка 100 мл №1; АКТОВЕГІН розчин для ін'єкцій по 5 мл (200 мг) в ампулі, по 5 ампулі у картонній коробці; Анальгін-Дарниця р-н д/ін. 500 мг/мл амп. 2 мл, контурн. чарунк. yп., пачка №10; Аспаркам р-н д/ін. амп. 5 мл, блістер у пачці №10; Аргітек р-н д/інф. 8 мг/мл фл. 250 мл №1; Бензогексоній-Здоров'я р-н д/ін. 2,5 % амп. 1 мл, у блістері в коробці №10; Бетадин р-н д/зовн. та місц. застос. 10 % фл. з крапельн. 120 мл №1; Бромкриптин-КВ табл. 2,5 мг блістер №30; Вікасол-Дарниця р-н д/ін. 10 мг/мл амп. 1 мл, контурн. чарунк. yп., пачка №10; Піридоксин-Дарниця (вітамін В6-Дарниця) р-н д/ін. 50 мг/мл амп. 1 мл, контурн. чарунк. уп. №10; Ціанокобаламін-Дарниця (вітамін В12-Дарниця) р-н д/ін. 0,5 мг/мл амп. 1 мл, контурн. чарунк. yп., пачка №10; Гіоксизон мазь туба 15 г №1; Гідрокортизону ацетат сусп. д/ін. 2,5 % амп. 2 мл №10; Гідазепам ІС® табл. 0,02 г блістер №20; Глутаргін конц. д/р-ну д/інф. 400 мг/мл амп. 5 мл, у бліст. у коробках №10; Глюкоза р-н д/інф. 100 мг/мл пляшка 200 мл №1; Глюкоза р-н д/ін. 40 % амп. 10 мл №10; Глюкоза р-н д/ін. 40 % амп. 20 мл №10; Декасан р-н 0,2 мг/мл пляшка скляна 200 мл №1; Діоксидин р-н 10 мг/мл амп. 10 мл, в пачці №10; Диклофенак-Дарниця р-н д/ін. 25 мг/мл амп. 3 мл, контурн. чарунк. yп., пачка №10; Дибазол-Дарниця р-н д/ін. 10 мг/мл амп. 1 мл, контурн. чарунк. yп., пачка №10; Димедрол-Дарниця р-н д/ін. 10 мг/мл амп. 1 мл, контурн. чарунк. yп., пачка №10; Дигоксин р-н д/ін. 0,25 мг/мл амп. 1 мл, в пачці №10; Дитилін-Біолік р-н д/ін. 20 мг/мл амп. 5 мл №10; Дротаверин-Дарниця р-н д/ін. 20 мг/мл амп. 2 мл, контурн. чарунк. yп., пачка №5; Нормагут капс. блістер №10; Етамзилат р-н д/ін. 12,5 % амп. 2 мл, в пачці №10; Еуфілін-Дарниця р-н д/ін. 20 мг/мл амп. 5 мл №10; Ізосол р-н д/інф. контейнер 500 мл №1; Ізо-Мік конц. д/р-ну д/інф. 0,1 % амп. 10 мл, касета, вкладена у пачку №10; Карведилол-КВ табл. 25 мг блістер, в пачці №30; Карбамазепін-Дарниця табл. 200 мг контурн. чарунк. уп. №50; Калію хлорид конц. д/р-ну д/інф. 7,5 % фл. 10 мл №1; Кветирон 25 табл. в/плівк. обол. 25 мг №30; Кветирон 100 табл. в/плівк. обол. 100 мг №60; Кетолонг-Дарниця р-н д/ін. 30 мг/мл амп. 1 мл, контурн. чарунк. yп., пачка №10; Клопіксол табл. в/о 10 мг контейнер, у карт. коробці №100; Клофраніл табл. в/плівк. обол. 25 мг стрип №50; Кордіамін-Здоров'я р-н д/ін. 250 мг/мл амп. 2 мл, коробка №10; Кофеїн-бензоат натрію р-н д/ін. 200 мг/мл амп. 1 мл, в пачці №10; Корвалмент капс. м'які 0,1 г блістер №30; Левомеколь мазь туба 40 г №1; Лонгокаїн® Хеві р-н д/ін. 5 мг/мл фл. 5 мл, в пачці №5; Лідокаїн-Здоров'я р-н д/ін. 100 мг/мл амп. 2 мл, у коробках №10; Лінімент бальзамічний (за О.В. Вишневським) лінімент туба 25 г №1; Мезатон р-н д/ін. 10 мг/мл амп. 1 мл, блістер у пачці №10; Налбуфін р-н д/ін. 10 мг/мл амп. 2 мл, блістер у пачці №5; Налоксон-ЗН р-н д/ін. 0,4 мг/мл амп. 1 мл, коробка №10; Новокаїн-Дарниця р-н д/ін. 20 мг/мл амп. 2 мл, контурн. чарунк. yп., пачка №10; Новокаїн р-н д/інф. 0,5 % пляшка 200 мл №1; Золопент табл. в/о кишково-розч. 40 мг блістер №30; Папаверин-Дарниця р-н д/ін. 20 мг/мл амп. 2 мл, контурн. чарунк. yп., пачка №10; Платифілін-Дарниця р-н д/ін. 2 мг/мл амп. 1 мл, контурн. чарунк. yп., пачка №10; Перекис водню р-н д/зовн. застос. 3 % фл. полімер. 200 мл №1; Плазмовен р-н д/інф. фл. 500 мл №1; Стерофундин ISO р-н д/інф. контейнер 500 мл №10; Прегабалін-Дарниця капс. 75 мг контурн. чарунк. уп. №21; Прозерин-Дарниця р-н д/ін. 0,5 мг/мл амп. 1 мл №10; Піофаг® бактеріофаг полівалентний р-н фл. 20 мл, пачка картон. №4; Пірацетам р-н д/ін. 20 % амп. 10 мл, блістер у пачці №10; Реналган р-н д/ін. амп. 5 мл, блістер у пачці №5; Реосорбілакт р-н д/інф. пляшка 200 мл №1; Рефордез-Новофарм р-н д/інф. 60 мг/мл пляшка 400 мл №1; Рибоксин-Дарниця р-н д/ін. 20 мг/мл амп. 5 мл №10; Симбія капс. кишково-розч. 30 мг блістер №28; Спіронолактон-Дарниця табл. 25 мг контурн. чарунк. уп., пачка №30; Спирт мурашиний р-н спирт. д/зовн. застос. фл. 50 мл №1; Сульпірид-ЗН р-н д/ін. 50мг/мл амп. 2мл №10; Супрастин р-н д/ін. 20 мг амп. 1 мл №5; Тизерцин табл. в/о 25 мг фл. №50; Трисоль р-н д/інф. пляшка 200 мл №1; Трифтазин-Дарниця р-н д/ін. 2 мг/мл амп. 1 мл №10; Тіотриазолін р-н д/ін. 25 мг/мл амп. 2 мл №10; Ультракаїн ДС карпули 1,7мл №100; Хлоргексидин р-н д/зовн. застос. 0,05 % фл. з кришкою-крапельницею 100 мл №1; Ципрофлоксацин табл. в/о 500 мг блістер №10; Ципрофлоксацин-Новофарм р-н д/інф. 2 мг/мл пляшка 100 мл №1; Беноксі крап. оч. 0,4 % контейнер-крапельн. 10 мл №1; Тропікамід-Фармак крап. оч. 1 % фл. 10 мл №1; Брильянтовий зелений р-н спирт. д/зовн. застос. 1 % фл. 20 мл №1; Кокарбоксилаза р-н. д/ін. 50мг/2мл амп. 2мл №10; Пантенол аерозоль піна нашкірна контейнер 116 г №1</t>
  </si>
  <si>
    <t>Американка 3/4 пряма латунь; Еко труба 25х4,2 звичайна; Еко коліно 20-20 під 45*; Еко коліно 20-90*; Еко коліно 25х25 під 90*; Еко муфта 20-1/2; Еко муфта 20-1/2 р.зов.; Еко муфта 25; Еко муфта 25*3/4;  Еко муфта 25-20; Еко трійник 25-20-25; Еко хрестовина 25х25х25х25; Муфта Зовн,гайкою з лат,штоком 20*1/2; Ніпель нікельований; Футорка 1/2Вх3/4Н; Шлагн(ігла) нерж.М10-1/2-0,50м довгий; Шланг(ігла) нерж.М10-1/2-0,50м; Шланг(ігла) нерж.М10-1/2-0,50м кор.; Шланг(ігла) нерж. М10-1/2-1,20м.д.к; Шланг(ігла) нерж. М10-1/2-0,40м д.; Шланг(ігла) нерж. М10-1/2-0,40м к</t>
  </si>
  <si>
    <t>Амоксил-К пор. д/п ін. р-ну 1,2 г фл. №1; Вомікайнд р-н д/ін. 2 мг/мл амп. 4 мл №4; Тіаміну хлорид-Дарниця(вітамін В1-Дарниця) р-н д/ін. 50 мг/мл амп. 1 мл, контурн. чарунк. уп., пачка №10; Галоперидол-Ріхтер р-н д/ін. 5 мг амп. 1 мл №5; Фленокс р-н л/ін. 4000 анти-Ха МО шприц 0,4 мл, блістер №10; Лідокаїн-Дарниця р-н д/ін. 20 мг/мл амп. 2 мл, контурн. чарунк. уп., пачка №10; Фрелсі р-н д/ін. 2,5 мг/0,5 мл шприц, у блістері 0,5 мл №10; Метоклопрамід-Дарниця р-н д/ін. 5 мг/мл амп. 2 мл, контурн. чарунк. уп., пачка №10; Натрію хлориду розчин ізотонічний 0,9% Б.Браун р-н д/інф. 0,9% фл, 100 мл №20; Санаксон-2000 пор. д/р-ну д/ін. 2г фл №1</t>
  </si>
  <si>
    <t>Амоксил-К порошок для розчину для ін'єкцій по 1,2 г порошку у флаконі №1; Атропін-Дарниця розчин для ін'єкцій 1мг/мл, амп. 1мл №10; Лідокаїн-Дарниця р-н д/ін. 2% амп. 2мл №10,; Магнію Сульфат-Дарниця р-н д/ін. 25% амп. 5мл №10; Метоклопрамід-Дарниця р-н д/ін. 5 мг/мл амп. 2 мл №10; Налоксон-ЗН р-н д/ін. 0,4 мг/мл амп. 1 мл,коробка №10</t>
  </si>
  <si>
    <t>Анаератор ущільнювач SmartFlex для металевих різьбових зєднань 50 мл; Ізолента yongie</t>
  </si>
  <si>
    <t>Анальгін-Дарниця, розчин для ін'єкцій, 500 мг/мл, по 2 мл в ампулі; Димедрол-Дарниця, розчин для ін'єкцій, 10 мг/мл по 1 мл в ампулі; Аміак, розчин для зовнішнього застосування 10% по 40 мл у флаконах; Перекис водню,розчин для зовнішнього застосування 3%, по 100 мл у флаконах; Супрастин, розчин для ін'єкцій 20мг/мл</t>
  </si>
  <si>
    <t>Анти-А, моноклональний реагент; Анти-В, моноклональний реагент; Anti-D, monoclonal</t>
  </si>
  <si>
    <t xml:space="preserve">Апарат для гальванізації та електрофорезу ПОТІК-01М; Дарсонваль BactoSfera DARSONVAL; апарат для УВЧ-терапії УВЧ-80-4 "УНДАТЕРМ" з ручним налаштуванням; небулайзер </t>
  </si>
  <si>
    <t>Апарат штучної вентиляції легень S1600(Код НК 024:2019-47244-Апарат штучної вентиляції легенів загального призначення для інтенсивної терапії)</t>
  </si>
  <si>
    <t>Атракуріум 10 мг/мл 5,0 №5</t>
  </si>
  <si>
    <t>Атракуріум 10мг/мл 5,0 №5; Пропофол-ново емул. д/ін. 10мг/мл 20,0 №5; Сибазон 0,5% 2,0; Фентаніл 0,05 мг/мл 2,0</t>
  </si>
  <si>
    <t>Атропін-Дарниця р-н д/ін. 1мг/мл 1мл №10</t>
  </si>
  <si>
    <t>Б16-12-22-АБ/723/22</t>
  </si>
  <si>
    <t>Б4-04-22-АБ/282/22</t>
  </si>
  <si>
    <t>Б5-04-22-АБ/281/22</t>
  </si>
  <si>
    <t>Б7-10-22-АБ/629/22</t>
  </si>
  <si>
    <t>БЛАНІДАС</t>
  </si>
  <si>
    <t>БОДАЧЕВСЬКИЙ ОЛЕКСАНДР ПРОКОПОВИЧ</t>
  </si>
  <si>
    <t>БУТОВ МИКОЛА ЛУКАШЕВИЧ</t>
  </si>
  <si>
    <t>Багатофункціональний пристрій А4 Canon i-SENSYS MF3010+2шт картридж Canon 725; багатофункціональний пристрій А4 Epson L3151+комплект кольорових чорнил Epson 103</t>
  </si>
  <si>
    <t>Батарейка CR2025</t>
  </si>
  <si>
    <t>Батарейка R14 trey X2 G3 Наша Сила (в уп.24шт.)</t>
  </si>
  <si>
    <t>Батарейки "Videx" R14 сольова</t>
  </si>
  <si>
    <t>Бахіли одноразові (код НК 024:2019-61937 Бахіли хірургічні); Бинт марлевий медичний 7*14см н/с(код НК 024:2019-48125 Рулон марлевий, нестерильний); Бинт марлевий медичний 5*10см н/с( код НК 024:2019-48125 Рулон марлевий, нестерильний); Бинт гіпсовий 15х270см( код НК 024:2019-33056 Матеріал для накладення гіпсової пов'язки); Бинт гіпсовий 20х270 см( код НК 024:2019-33056 Матеріал для накладення гіпсової пов'язки); Катетер Венфлон в/в  G22(код НК 024:2019-10678 Катетер для введення); Катетер Венфлон в/в  G24(код НК 024:2019-10678 Катетер для введення); Катетер Венфлон в/в  G20( код НК 024:2019-10678 Катетер для введення); Голкотримач для вакуумних пробірок №100( код НК 024:2019-37839 Голкотримач хірургічний, багаторазового використання); Голка атравматична 0-4(код НК 024:2019-47194 Хірургічна нитка з поліуретану на основі поліефіру); Ємність для забору калу не стерильна( код НК 024:2019-62629 Контейнер для збору калу в терапевтичних цілях, нестерильний); Катетер Фолея 2-х ходов. 16( код НК 024:2019-34926 Катетер сечовідний загального призначення); Катетер Фолея  2-х ходов. 18(код НК 024:2019-34926 Катетер сечовідний загального призначення); Стилет для встановлення ендотрахеальної трубки Fr10(код НК 024:2019-58770 Набір для дренування плевральної порожнини); Стилет для встановлення ендотрахеальної трубки Fr14(код НК 024:2019-58770 Набір для дренування плевральної порожнини); Кетгут стерильний з одн. голка хром. д. 0,75м №4(код НК 024:2019-47194 Хірургічна нитка з поліуретану на основі поліефіру); Кетгут стерильний з одн. голка хром. д. 0,75м №5(код НК 024:2019-47194 Хірургічна нитка з поліуретану на основі поліефіру); Кетгут стерильний з одн. голка хром. д. 0,75м №6(код НК 024:2019-47194 Хірургічна нитка з поліуретану на основі поліефіру); Лезо до скальпеля, стерильне №23( код НК 024:2019-37445 Лезо скальпеля, одноразового використання); Лезо до скальпеля, стерильне №15( код НК 024:2019-37445 Лезо скальпеля, одноразового використання); Пластир медичний, бавовняна основа  2,5х500 см( код НК 024:2019-32207 Лейкопластир для з'єднання країв ран); Пластир медичний, паперова основа  2,5х500см( код НК 024:2019-32207 Лейкопластир для з'єднання країв ран); Підгузники для дорослих XL( код НК 024:2019-11239 Підгузник для дорослих); Пеленка вологопоглинаюча 40*60см №25( код НК 024:2019-11239 Підгузник для дорослих); Пеленка вологопоглинаюча 60*90см №30( код НК 024:2019-11239 Підгузник для дорослих); Рукавиці хірургічні стерильні припудрені р.7( код НК 024:2019-47173 Припудрені, оглядові / процедурні рукавички з латексу гевеї, нестерильні); Рукавиці хірургічні стерильні припудрені р.8( код НК 024:2019-47173 Припудрені, оглядові / процедурні рукавички з латексу гевеї, нестерильні); Сечоприймач з отвором для  зливу стер. 2000мл( код НК 024:2019- 47459 Сечоприймач системи моніторення сечовипускання); Комплект для втановлення підключичного катетера КВ-3 з голкою G15( код НК 024:2019-36244 Набір для внутрішньовенних вливань через інфузійний контролер); Шовк стерильний 2/0  (M3)  дов. 1,5м( код НК 024:2019-47194 Хірургічна нитка з поліуретану на основі поліефіру); Шовк стерильний  1  (M4)  дов. 1,5м( код НК 024:2019-47194 Хірургічна нитка з поліуретану на основі поліефіру); Шовк стерильний  2  (M5)  дов. 1,5м(код НК 024:2019-47194 Хірургічна нитка з поліуретану на основі поліефіру); Шовк стерильний  3  (M6)  дов. 1,5м(код НК 024:2019-47194 Хірургічна нитка з поліуретану на основі поліефіру); Презерватив латексні  для ультразвукового дослідження №100(код НК 024:2019-45138 Чоловічий стандартний презерватив, гевеа-латекс)</t>
  </si>
  <si>
    <t>Бб-07-22-АБ/437/22</t>
  </si>
  <si>
    <t>Бензин А-95; Дизельне паливо</t>
  </si>
  <si>
    <t>Бетайод р-н 10% 100 мл, , ; Бетадин р-н 10% 120 мл; Бетадин р-н 10% 1000 мл</t>
  </si>
  <si>
    <t>Бинт 7м*14см ст.; Бинт 5м*10см ст</t>
  </si>
  <si>
    <t>Бинт марлевий 7мх14см нестерильний(НК 024:2019 - 48126 - Рулон марлевий, нестерильний); Бинт марлевий 5мх10см нестерильний(НК 024:2019 - 48126 - Рулон марлевий, нестерильний); Бинт гіпсовий 15х270см(НК 024:2019 - 33056 - Матеріал для накладення гіпсової пов'язки); Бинт гіпсовий 20х270 см(НК 024:2019 - 33056 - Матеріал для накладення гіпсової пов'язки); Вата н/с 100гр нестерильна(НК 024:2019 - 58232 - Рулон ватний, нестерильний); Пластир медичний на бавовняній основі 3*500(НК 024:2019 - 32207 - Лейкопластир для з'єднання країв ран); Пластир медичний на нетканній основі 3*500(НК 024:2019 - 32207 - Лейкопластир для з'єднання країв ран); Пластир медичний на поліетиленовій основі 3*500(НК 024:2019 - 32207 - Лейкопластир для з'єднання країв ран ); Бахіли ПЕ(НК 024:2019 - 61937 - Бахіли хірургічні); Шапочка одноразова(НК 024:2019 - 32297 - Шапочка хірургічна, одноразового використання, нестерильна); Манжета до тискоміра механічного(НК 024:2019 - 34978 - Манжета для вимірювання артеріального тиску, багаторазового застосування); Скарифікатор-ланцет №200(НК 024:2019 - 13472 – Скарифікатор); Набір гінекологічний №10 (стандарт)(НК 024:2019 - 12955 - Набір для взяття мазків за Папаніколау); Голка двостороння  розмір 22G (0,7х38мм) колір чорний для вакуумного забору крові, одноразового використання стерильна, №100(НК 024:2019 - 12747 - Внутрішньоартерійна голка); Джгут венозний автоматичний(НК 024:2019 - 35844 - Джгут на верхню / нижню кінцівку, багаторазового використання); Пайпель внутрішньоматковий  одноразового використання  стерильний(НК 024:2019 - 37448 - Вагінальний аплікатор, одноразовий); Серветка  із нетканого матеріалу просочена 70% ізопропіловим спиртовим розчином, 30х60 мм №100(НК 024:2019 -47237 - Серветка для очищення шкіри); Пробірка конічна градуйована з кришкою  тип Фалькон 15 мл стерильна(НК 024:2019 -37563 - Пробірка для збору зразків крові не вакуумна без домішок IVD); Трубка трахеостомна р.7,5 з манжетою низького тиску(НК 024:2019 -38792 - Трубка трахеостомічна стандартна, багаторазового використання); Голка пункційна (спінальна) в асортименті(НК 024:2019 -61546 - Голка для анестезії з локалізацією нерва); Голка хірургічна(НК 024:2019 -32357 - Голка шовна, багаторазового використання); Нитка хірургічна поліпропіленова не розсмоктуюча 4/0(НК 024:2019 -47194 - Хірургічна нитка з поліуретану на основі поліефіру); Ємкість для сечі 120мм стерильна(НК 024:2019 -12542 - Контейнер для збирання середньої порції сечі IVD); Контейнер полімерний КДПО-8-8.0(НК 024:2019 -13730 - Стерилізаційний контейнер); Катетер типу Фолея JS 2-х ходовий Fr16(НК 024:2019 -34926 - Катетер сечовідний загального призначення); Катетер типу Фолея JS 2-х ходовий Fr18(НК 024:2019 -34926 - Катетер сечовідний загального призначення); Катетер типу Фолея JS 2-х ходовий  20(НК 024:2019 -34926 - Катетер сечовідний загального призначення); Сітка поліпропіленова хірургічна стерильна, одношарова, легка, біла, 6 х 11 см, (Альфа-Віта 90 СТАНДАРТ)( НК 024:2019 -44688 - Сітка хірургічна універсальна, з синтетичного полімеру, що розсмоктується); Сітка поліпропіленова хірургічна стерильна, двошарова, середня, білий у поєднанні з синім, 6 х 11 см, (Омега 2 СТАНДАРТ)( НК 024:2019 -44688 - Сітка хірургічна універсальна, з синтетичного полімеру, що розсмоктується); Сітка поліпропіленова хірургічна стерильна, двошарова, важка, біла, 6 х 11 см, (Омега 3 СТАНДАРТ)( НК 024:2019 -44688 - Сітка хірургічна універсальна, з синтетичного полімеру, що розсмоктується); Сітка поліпропіленова хірургічна стерильна, одношарова, легка, біла, 15 х 15 см, (Альфа-Віта 90 СТАНДАРТ(НК 024:2019 -44688 - Сітка хірургічна універсальна, з синтетичного полімеру, що розсмоктується); Сітка поліпропіленова хірургічна стерильна, двошарова, середня, білий у поєднанні з синім, 15 х 15 см, (Омега 2 СТАНДАРТ)( НК 024:2019 -44688 - Сітка хірургічна універсальна, з синтетичного полімеру, що розсмоктується); Сітка поліпропіленова хірургічна стерильна, двошарова, важка, біла, 15 х 15 см, (Омега 3 СТАНДАРТ)( НК 024:2019 -44688 - Сітка хірургічна універсальна, з синтетичного полімеру, що розсмоктується); Нитка хірургічна USP1 (M4), ПОЛІАМІД, кручена, біла(НК 024:2019 -47194 - Хірургічна нитка з поліуретану на основі поліефіру); Нитка хірургічна USP3 (M6), ПОЛІАМІД, кручена, біла(НК 024:2019 -47194 - Хірургічна нитка з поліуретану на основі поліефіру); Кетгут стерильний без голки ТМ"Ігар" №4(НК 024:2019 -13898 - Хірургічна  нитка кетгут); Кетгут стерильний без голки ТМ"Ігар" №5(НК 024:2019 -13898 - Хірургічна  нитка кетгут); Кетгут стерильний без голки ТМ"Ігар" №6(НК 024:2019 -13898 - Хірургічна  нитка кетгут); Вікрил 0 (3,5)90см(НК 024:2019 -45401 - Хірургічна нитка з поліґлактину, проти бактерійна); Шовк стерильний без голки ТМ"Ігар" №3 2/0(М3)( НК 024:2019 -13910 - Стерильна хірургічна нитка з натурального шовку); Шовк стерильний без голки ТМ"Ігар" №4 1(М4)( НК 024:2019 -13910 - Стерильна хірургічна нитка з натурального шовку); Шовк стерильний без голки ТМ"Ігар" №5 2(М5)( НК 024:2019 - 13910 - Стерильна хірургічна нитка з натурального шовку); Шовк стерильний без голки ТМ"Ігар" №6 3(М6)( НК 024:2019 -13910 - Стерильна хірургічна нитка з натурального шовку); Лезо до скальпеля, стерильне №15(НК 024:2019 -37445 - Лезо скальпеля, одноразового використання); Лезо до скальпеля, стерильне №23(НК 024:2019 - 37445 - Лезо скальпеля, одноразового використання); Лезо до скальпеля, стерильне №24(НК 024:2019 -37445 - Лезо скальпеля, одноразового використання); Пелюшка вологопоглинаюча 60*90(НК 024:2019 -60709 - Пелюшка вбирає); Пелюшка вологопоглинаюча 40*60(НК 024:2019 -60709 - Пелюшка вбирає); Підгузники для дорослих XL(НК 024:2019 -11239 - Підгузник для дорослих); Подовжувач для інфузійних магістралей(НК 024:2019 -17541 - Разовий катетер-балон з помпою); Зонд шлунковий №18(НК 024:2019 -38561 - Зонд назогастральний / орогастральний); Одноразова ін’єкційна голка (Голка для ін’єкції, одноразова, діаметр 1,75 mm, довжина 180 cm, із замикаючим пристроєм, з металевим дистальним кінцем, діаметр канюлі 0,5 mm, довжина голки 5 mm)( НК 024:2019 -12734 - Біопсійна разова голка, загального призначення); Одноразова цитологічна щітка (Щітка цитологічна «Broncho-Set», одноразова, діаметр 1,75 mm, довжина 120 cm, діаметр щетини 2,5 mm(НК 024:2019 -32368 - Щітка цитологічна цервікальна); Щітки для чищення багаторазові (Щітка для чищення, двостороння, багаторазова, діаметр 1,8 mm, довжина 160 cm, діаметр щетини 4,0 mm(НК 024:2019 -38833 - Щітка цитологічна до ендоскопа гнучка, багаторазового використання); Одноразовий загубник для дорослих з еластичною гумкою (Загубник, одноразовий, з ременем для голови)( НК 024:2019 - 44545 - Одноразовий загубник для дихального апарату); Шпатель для язика  одноразовий(НК 024:2019 - 14066 - Хірургічний шпатель для язика); Зонд шлунковий №30(НК 024:2019 - 38561 - Зонд назогастральний / орогастральний); Дренаж типу"Редон"( НК 024:2019 - 58770 - Набір для дренування плевральної порожнини); Катетер (канюля) в/в типу "метелик"  23 G однор. викор(НК 024:2019 - 10678 - Катетер для введення); Катетер (канюля) в/в G18(НК 024:2019 - 10678 - Катетер для введення); Катетер (канюля) в/в G20(НК 024:2019 - 10678 - Катетер для введення); Катетер (канюля) в/в G22(НК 024:2019 - 10678 - Катетер для введення); Трубка ендотрахеальна №3,5 без манжети(НК 024:2019 - 47691 - Трубка ендотрахеальна з аспіраційної манжетою); Трубка ендотрахеальна №4,0 без манжети(НК 024:2019 - 47691 - Трубка ендотрахеальна з аспіраційної манжетою); Трубка ендотрахеальна №4,5 без манжети(НК 024:2019 - 47691 - Трубка ендотрахеальна з аспіраційної манжетою); Трубка ендотрахеальна з манжеткою  №5,0(НК 024:2019 - 47691 - Трубка ендотрахеальна з аспіраційної манжетою); Трубка ендотрахеальна з манжеткою  №5,5(НК 024:2019 - 47691 - Трубка ендотрахеальна з аспіраційної манжетою); Трубка ендотрахеальна з манжеткою  №6,5(НК 024:2019 - 47691 - Трубка ендотрахеальна з аспіраційної манжетою); Трубка ендотрахеальна з манжеткою  №6,0(НК 024:2019 - 47691 - Трубка ендотрахеальна з аспіраційної манжетою); Трубка ендотрахеальна з манжеткою  №7,0(НК 024:2019 - 47691 - Трубка ендотрахеальна з аспіраційної манжетою); Трубка ендотрахеальна з манжеткою  №7,5(НК 024:2019 - 47691 - Трубка ендотрахеальна з аспіраційної манжетою); Трубка ендотрахеальна з манжеткою  №8,5(НК 024:2019 - 47691 - Трубка ендотрахеальна з аспіраційної манжетою); Катетер аспіраційний для відсмоктування з вакум контролем №12(НК 024:2019 - 10749 - Аспіраційний трахеальний катетер); Катетер аспіраційний для відсмоктування з вакум контролем №16(НК 024:2019 - 10749 - Аспіраційний трахеальний катетер); Відріз марлевий 1000х90см нестерильний(НК 024:2019 - 48127 - Стрічка марлева); Катетер для ін'єкцій  типу «метелик» з луер адаптором  розмір 23G одноразового використання стерильний №100(НК 024:2019 - 34923 - Катетер аспіраційної системи, загального призначення); Сечоприймач зі зливом(НК 024:2019 - 47459 - Сечоприймач системи моніторення сечовипускання); Система ПК(НК 024:2019 - 43324 - Система для переливання рідин загального призначення);  Пристрій для вливання інфузійних розчинів ПР(НК 024:2019 - 43324 - Система для переливання рідин загального призначення);  Шприц одноразовий  з голкою 10мл(НК 024:2019 - 63095 - Шприц / голка загального призначення);  Шприц одноразовий  з голкою 5мл(НК 024:2019 - 63095 - Шприц / голка загального призначення);  Шприц одноразовий  з голкою 2мл(НК 024:2019 - 63095 - Шприц / голка загального призначення);  Рукавички стерильні 6,5(НК 024:2019 -47179 - Припудрені, оглядові / процедурні рукавички з латексу гевеї, стерильні);  Рукавички стерильні 7,0(НК 024:2019 -47179 - Припудрені, оглядові / процедурні рукавички з латексу гевеї, стерильні);  Рукавички стерильні 7,5(НК 024:2019 -47179 - Припудрені, оглядові / процедурні рукавички з латексу гевеї, стерильні);  Рукавички стерильні 8,0(НК 024:2019 -47179 - Припудрені, оглядові / процедурні рукавички з латексу гевеї, стерильні); Латексні хірургічні рукавички без пудри стерильні Medi-Grip® PF, розмір 6.0(НК 024:2019 -47178 - Непудровані, оглядові / процедурні рукавички з латексу гевеї, стерильні); Латексні хірургічні рукавички без пудри стерильні Medi-Grip® PF, розмір 7.0(НК 024:2019 -47178 - Непудровані, оглядові / процедурні рукавички з латексу гевеї, стерильні); Латексні  хірургічні рукавички стерильні без пудри, ENCORE Latex Ortho, розмір 7.0(НК 024:2019 -47178 - Непудровані, оглядові / процедурні рукавички з латексу гевеї, стерильні); Латексні  хірургічні рукавички стерильні без пудри, ENCORE Latex Ortho, розмір 8.0(НК 024:2019 -47178 -Непудровані, оглядові / процедурні рукавички з латексу гевеї, стерильні); GAMMEX® без пудри з AMT™ антимікробною технологією Антимікробні,стерильні,неопудрені,латексні хірургічні рукавички, р. 7.0(НК 024:2019 -47178 - Непудровані, оглядові / процедурні рукавички з латексу гевеї, стерильні); GAMMEX® без пудри з AMT™ антимікробною технологією Антимікробні,стерильні,неопудрені,латексні хірургічні рукавички, р. 8.0(НК 024:2019 -47178 - Непудровані, оглядові / процедурні рукавички з латексу гевеї, стерильні)</t>
  </si>
  <si>
    <t>Бинт н/ст. 7/14 см; бинт н/ст. 5/10 см; вата 100,0 грм н/с; голка спінальна 120 мм; голка спінальна 90 мм; джгут із застібкою; ємність для збору слини, мокроти, стерильний 60мл; ємність для сечі 60мл н/с; катетер Фоллея № 16; катетер Фоллея № 18; лезо скальпеля 15; лейкопластир широкий 2*500; скарифікатор №200; термометр медичний; зонд шлунковий №14; зонд шлунковий №16; шпатель одноразовий</t>
  </si>
  <si>
    <t>Бліцеф пор. д/інф. 1 г №10</t>
  </si>
  <si>
    <t>Бліцеф пор. д/інф. 1г №10</t>
  </si>
  <si>
    <t>Бодедекс форте, 2л; Корзолекс екстра (BODE),2л</t>
  </si>
  <si>
    <t>Білизна Онікс 1700л; Білизна Онікс Калуш 950 г; Білизна Калушанка 900 г; Саво для унітазу; Білизна Калушанка 900 г; Сарма Чистячий Гель для Унітазу 750мл</t>
  </si>
  <si>
    <t>В97/22/608/22</t>
  </si>
  <si>
    <t>ВІТКОВИЧ МИКОЛА ІВАНОВИЧ</t>
  </si>
  <si>
    <t>ВАК-апарат (НК 024:2019 - 20395 Система лікування ран негативним тиском з живленням від мережі); дренажні пов'язки для ВАК - апарата – PU IV та одноразові дренажні плівки для перев'язки (комплект) (НК 024:2019  47407 Антибактеріальна абсорбувальна пов’язка для системи лікування ран від’ємним тиском)</t>
  </si>
  <si>
    <t>ВОВЧИНА ЗІНОВІЙ ІВАНОВИЧ</t>
  </si>
  <si>
    <t>ВОШИК ЛЮБОВ МИХАЙЛІВНА</t>
  </si>
  <si>
    <t>Вакуумна пробірка, 4 мл, Без наповнювача, Червона, 13х75 мм ПЕТ (код НК 024:2019- 47590 Пробірка вакуумна для відбору зразків крові IVD, без добавок)</t>
  </si>
  <si>
    <t>Виготовлення проектно-кошторисної документації: Капітальний ремонт фізіотерапевтичного відділення в КНП "Стебницька міська лікарня" ДМР за адресою: Львівська обл., м.Стебник, вул. Січових Стрільців,2</t>
  </si>
  <si>
    <t>Вода Чистий ключ 0,5</t>
  </si>
  <si>
    <t>Водоемульсійна фарба 14 кг; Емаль біла ПФ 0,9 кг</t>
  </si>
  <si>
    <t>Вомікайнд р-н д/ін. 2 мг/мл 4 мл №4; Вомікайнд р-н д/ін. 2 мг/мл 2 мл №4</t>
  </si>
  <si>
    <t>Відкриті торги</t>
  </si>
  <si>
    <t>Відкриті торги з особливостями</t>
  </si>
  <si>
    <t>Відсмоктувач  медичний  мод 9Е-А(код НК024:2019-17435- Аспіраційна система для аутопсії)</t>
  </si>
  <si>
    <t>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</si>
  <si>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</si>
  <si>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Відшкодування понесених витрат від забезпечення технічними та іншими засобами пільгових верств населення, відповідно до Постанови Кабінету міністрів України №1301 від 03.12.1998р. "Про затвердження Порядку забезпечення інвалідів і дітей-інвалідів технічними та іншими засобами"</t>
  </si>
  <si>
    <t>Візок для перевезення хворих із регулятором висоти ТПБР( код НК 024:2019-31163 Каталка лежача адаптаційна)</t>
  </si>
  <si>
    <t>Візок з комплектом для прибирання</t>
  </si>
  <si>
    <t>Вікно м/п розмір 1100х1830мм</t>
  </si>
  <si>
    <t>Вікно металопластикове 1110*1180</t>
  </si>
  <si>
    <t>Вінасепт 5л; Септософт, 5л; серветки АХД 2000 експрес з клапаном №100; Бланідас 300, табл.; Бланідас Актив саше, 10мл</t>
  </si>
  <si>
    <t>Віник "Сарго"; Жилка до тримера 3 мм; Стрічка сантехнічна; Поріг 1м</t>
  </si>
  <si>
    <t>ГАВРИЛЮК ЄВГЕН ЮРІЙОВИЧ</t>
  </si>
  <si>
    <t>ГАЛИЧ ЛЮБОМИР СТЕПАНОВИЧ</t>
  </si>
  <si>
    <t>ГЛАДЧЕНКО МАРІЯ ІВАНІВНА</t>
  </si>
  <si>
    <t>ГЛЮКОЗА,  розчин для інфузій, 50 мг/мл; по 200 мл у пляшках скляних; ІНФУЛГАН, розчин для інфузій 10 мг/мл; по 100 мл в пляшці; по 1 пляшці в пачці з картону</t>
  </si>
  <si>
    <t>ГЛЮКОЗА, розчин для інфузій, 50 мг/мл; по 200 мл у пляшках скляних; ІНФУЛГАН, розчин для інфузій 10 мг/мл; по 100 мл в пляшці; по 1 пляшці в пачці з картону; Метронідазол розчин для інфузій 5 мг/мл по 100 мл; Натрію хлорид, розчин для інфузій 9 мг/мл по 200 мл у пляшках</t>
  </si>
  <si>
    <t>ГНАТКІВ АНАТОЛІЙ ІГОРОВИЧ</t>
  </si>
  <si>
    <t>ГУРБА ПАВЛО ВОЛОДИМИРОВИЧ</t>
  </si>
  <si>
    <t>ГУРБА РОМАН ВОЛОДИМИРОВИЧ</t>
  </si>
  <si>
    <t>Гайка редуктора для коси(ліва різьба); Флянець редуктора кост(набір)</t>
  </si>
  <si>
    <t>Гель для УЗД 1л; Гель для ЕКГ 1л</t>
  </si>
  <si>
    <t>Гель провідний ЕКГ 1000г; Гель провідний для УЗД AguaUltra Basic 1000г</t>
  </si>
  <si>
    <t>Глюкоза р-н для інф. 50 мг/мл по 200 мл; Натрію хлорид р-н для інф. 9 мг/мл по 200 мл; Розчин Рінгера р-н для інф. по 200 мл; Сангера р-н для ін'єкцій 100 мг/мл по 5 мл в амп. №5; Суфер р-н для в/ін. 20 мг/мл по 5 мл в ампулі №5; Флуконазол р-н для інф. 2 мг/мл по 100 мл</t>
  </si>
  <si>
    <t>Глюкоза, розчин для інфузій, 50 мг/мл; по 200 мл у пляшках скляних; Розчин Рінгер-лактатний розчин для інфузій по 200 мл; Сангера, розчин для ін'єкцій, 100 мг/мл по 5 мл в ампулі №5</t>
  </si>
  <si>
    <t>Голкотримач 180,0мм(код НК 024:2019-12726 Багаторазовий тримач голки); Голкотримач 250мм(код НК 024:2019-12726 Багаторазовий тримач голки); Зонд 2х сторон. гудзиковий 160мм(код НК 024:2019-35253 Зонд для носових пазух); Зонд 2х сторон. гудзиковий 200мм(код НК 024:2019-35253 Зонд для носових пазух); Затискач (Цапка)  для операційної білизни(код НК 024:2019-10904 Затискач для хірургічних інструментів); Затискач по  (Мікуліч) з кремальєрами для прикріплення білизни до очеревини. (код НК 024:2019-10904 Затискач для хірургічних інструментів); Ручка скальпеля велика 130мм(код НК 024:2019-44959 Тримач хірургічного леза); Набір розширювачів Гігара від  №3-12(код НК 024:2019-45918 Середній / Глибокий ранорозширювач); Пінцет анатомічний 145мм(код НК 024:2019-15800 Препарувальний пінцет); Пінцет анатомічний 180мм(код НК 024:2019-15800 Препарувальний пінцет); Пінцет хірургічний 150мм(код НК 024:2019-15800 Препарувальний пінцет); Пінцет хірургічний 180мм(код НК 024:2019-15800 Препарувальний пінцет); Ножиці в/зіг  т/к з твердосплавом дов. 170мм(код НК 024:2019-38727 Хірургічні ножиці загального призначення, багаторазові); Ложка гінекологічна двухстороння(код НК 024:2019-47904 Ложка кісткова); Кюретка для  вискоблювання слизової матки гостра №1(код НК 024:2019-31335 Кюретка кісткова); Кюретка для  вискоблювання слизової матки гостра №2(код НК 024:2019-31335 Кюретка кісткова); Кюретка  біопсіййна дов 230мм Д-4мм(код НК 024:2019-31335 Кюретка кісткова); Кюретка  біопсіййна дов 230мм Д-3мм(код НК 024:2019-31335 Кюретка кісткова); Дзеркало по  Річардсону(код НК 024:2019-33431 Дзеркало ларингеальне); Дзеркало вагінальне  110*30(код НК 024:2019-33431 Дзеркало ларингеальне); Дзеркало вагінальне  110*27(код НК 024:2019-33431 Дзеркало ларингеальне); Дзеркало вагінальне 110*32(код НК 024:2019-33431 Дзеркало ларингеальне); Дзеркало вагінальне  Дуайєна №5(код НК 024:2019-33431 Дзеркало ларингеальне); Дзеркало вагінальне  Дуайєна №2(код НК 024:2019-33431 Дзеркало ларингеальне); Затискач прямий   Кохера-Nippow 185мм(код НК 024:2019- Затискач для хірургічних інструментів); Затискач  Кохера прямий 160мм(код НК 024:2019-10904 Затискач для хірургічних інструментів); Затискач  Кохера зігнутий 160мм(код НК 024:2019-10904 Затискач для хірургічних інструментів); Затискач  Пеан,  зігнутий. 20см(код НК 024:2019-10904 Затискач для хірургічних інструментів); Затискач кровоспинний Спесера-Велса в/з 230мм(код НК 024:2019-10904 Затискач для хірургічних інструментів); Затискач  Хепі вигнутий, жорсткий №1 дов 219мм(код НК 024:2019-10904 Затискач для хірургічних інструментів); Затискач гінекологічний  по Хепі Баллейтанйн жорсткий №2 233мм(код НК 024:2019-10904 Затискач для хірургічних інструментів); Затискач  к/с Кохера 1х2 зубий 200мм зігнутий(код НК 024:2019-10904 Затискач для хірургічних інструментів); Відсмоктувач "БІОМЕД" медичний 7Е-А(код НК 024:2019-17435 Аспіраційна система для аутопсії); Корцанг зігнутий(код НК 024:2019-62466 Щипці хірургічні для м'яких тканин, у формі пінцета, багаторазового використання); Лоток ниркоподібнийй 260 мм(код НК 024:2019-42893 Лоток загального призначення, багаторазовий); Шпатель Revesdin лопатка(код НК 024:2019-14066 Хірургічний шпатель для язика); Ручка скальпеля велика(код НК 024:2019-44959 Тримач хірургічного леза); Лезо  для скальпелю(код НК 024:2019-37445 Лезо скальпеля, одноразового використання); Ранорозширювач по Pikapgy гінокологічний(код НК 024:2019-45918 Середній / Глибокий ранорозширювач); Пінцет анатомічний   250мм(код НК 024:2019-15800 Препарувальний пінцет); Ножниці  Для розтину м'яких  тканин в/з глибокій  порожнині твердо сплав(код НК 024:2019-38727 Хірургічні ножиці загального призначення, багаторазові); Ножиці тупокінцеві вертикально зігнуті  200мм(код НК 024:2019-38727 Хірургічні ножиці загального призначення, багаторазові); Ножиці в/зіг  т/к з твердосплавом дов. 170мм(код НК 024:2019-38727 Хірургічні ножиці загального призначення, багаторазові); Гачок пластинчастий по Фарабефу(код НК 024:2019-46769 Фістульний гачок); Голкотримач з твердосплав 210мм(код НК 024:2019-12726 Багаторазовий тримач голки); Дзеркало вагінальне Trelat, лопатка = 85 х 33 мм"(код НК 024:2019-33431 Дзеркало ларингеальне); Дзеркало вагінальне Trelat, лопатка = 95х 35 мм"(код НК 024:2019-33431 Дзеркало ларингеальне); Дзеркало вагінальне Trelat, лопатка =  115 х 33мм"(код НК 024:2019-33431 Дзеркало ларингеальне)</t>
  </si>
  <si>
    <t>Горох колотий</t>
  </si>
  <si>
    <t>Господарське мило рідке з дозатором 600; Рідке Мило господарське Клас 4л; Рідина для посуду Фреш Лимон 1л; Рідина для посуду 1л Еко; Мило господарське 72% Щедро 200г</t>
  </si>
  <si>
    <t>Гофра(не горюча) Д16 нг, сіра (100м,рул) 1м/п; Провід АППВ 2х2,5; Провід ШВВП 2-2,5; шввп 3х2,5</t>
  </si>
  <si>
    <t>Гратка Вент.ДВ 300х300с М квадрат 250х250х11мм.</t>
  </si>
  <si>
    <t>Грунтівка 10л; Унігрунт 5л; Грунтівка по металу 3 в 1</t>
  </si>
  <si>
    <t>Грілка гумова тип Б №3 комбінована( код НК 024:2019- 46248 Зігрівальна грілка)</t>
  </si>
  <si>
    <t>Гурба Вікторія Олегівна</t>
  </si>
  <si>
    <t>Гігрометр ВІТ-1(код НК 024:2019-36893 Вимірювач вологи); Гігрометр ВІТ-2(код НК 024:2019-36893 Вимірювач вологи)</t>
  </si>
  <si>
    <t>ДЕМЧУР ТАРАС ІЛЛІЧ</t>
  </si>
  <si>
    <t>ДЕРЖАВНА УСТАНОВА "ЛЬВІВСЬКИЙ ОБЛАСНИЙ ЦЕНТР КОНТРОЛЮ ТА ПРОФІЛАКТИКИ ХВОРОБ МІНІСТЕРСТВА ОХОРОНИ ЗДОРОВ'Я УКРАЇНИ"</t>
  </si>
  <si>
    <t>ДЕРЖАВНЕ ПІДПРИЄМСТВО "ЗАХІДНИЙ ЕКСПЕРТНО-ТЕХНІЧНИЙ ЦЕНТР ДЕРЖПРАЦІ"</t>
  </si>
  <si>
    <t>ДЕРЖАВНЕ ПІДПРИЄМСТВО "ЛЬВІВСЬКИЙ НАУКОВО-ВИРОБНИЧИЙ ЦЕНТР СТАНДАРТИЗАЦІЇ, МЕТРОЛОГІЇ ТА СЕРТИФІКАЦІЇ"</t>
  </si>
  <si>
    <t>ДЕРЖАВНЕ ПІДПРИЄМСТВО "ТЕРНОПІЛЬСЬКИЙ НАУКОВО-ВИРОБНИЧИЙ ЦЕНТР  СТАНДАРТИЗАЦІЇ, МЕТРОЛОГІЇ ТА СЕРТИФІКАЦІЇ"</t>
  </si>
  <si>
    <t>ДК 021:2015: 45450000-6 Інші завершальні будівельні роботи (Капітальний ремонт кабінетів № 9,13 та коридору в адміністративному корпусі КНП «Стебницька міська лікарня» ДМР за адресою: вул. Січових Стрільців, 2, місто Стебник, Львівська область)</t>
  </si>
  <si>
    <t>ДМИТРОВИЧ  АНДРІЙ  ЗІНОВІЙОВИЧ</t>
  </si>
  <si>
    <t>ДОЧІРНЄ ПІДПРИЄМСТВО "ДРОГОБИЦЬКИЙ МІСЬКИЙ ВІДДІЛ ПРОФІЛАКТИЧНОЇ ДЕЗИНФЕКЦІЇ"</t>
  </si>
  <si>
    <t>ДЯКІВНІЧ ІВАН МИХАЙЛОВИЧ</t>
  </si>
  <si>
    <t>Дата закінчення договору:</t>
  </si>
  <si>
    <t>Дата підписання договору:</t>
  </si>
  <si>
    <t>Дексаметазону фосфат р-н д/ін. 0,4% 1 мл №10 -t</t>
  </si>
  <si>
    <t>Державна установа "Інститут психіатрії, судово-психіатричної експертизи та моніторингу наркотиків Міністерства охорони здоров'я України"</t>
  </si>
  <si>
    <t>Диск алмазний Turbo 125 MTX Pro</t>
  </si>
  <si>
    <t>Диспенсер ER-T білий; Диспенсер для рушників z- типу(білий); Диспенсер для рідкого мила з резервуаром, 500мл (білий)</t>
  </si>
  <si>
    <t>Диспенсер ER-T-білий; Тримач рукавичок; Диспенсер для туалетного паперу Міні Джамбо (Білий)</t>
  </si>
  <si>
    <t>Диспенсери для рушників -z-типу, білий; Диспенсер для туалетного паперу z-типу (білий)+ стандарт упаковка паперу z-типу</t>
  </si>
  <si>
    <t>Дофамін конц. д/інф. 4% амп. 5 мл №10</t>
  </si>
  <si>
    <t>Дофамін конц.д/інф. 4% амп. 5мл №</t>
  </si>
  <si>
    <t>Дренажна труба за 1м/п 100ф; Корок заглушка 110; Планка під змішувач 20х1/2"в-А-П 12213; Труба металопласт. KISAN 16ф (200м.бухта) Germani; Шланг для води 2,00 м м/м(3945); Шланг для води 2,00м. п/м(3947); Труба 50/1,8-315мм.; Труба 50/1,8-500мм</t>
  </si>
  <si>
    <t>Дріт оцинк. 3мм</t>
  </si>
  <si>
    <t>Дюбель-ялинка(зажим) для круглого кабеля до 8мм; Прямий гак(8х80); Гайка М16; Дюбель потрійного розпору 12х80; Дюбель розпір. 6*30; Дюбель розпір. б/ком. з удар.шур.6,0х40(упак); Дюбель розпір. з/ком. з удар.шур.6,0х40(упак); Затиск для линв DIN 741 5мм; Прямий гак 4х40; Самонаріз рамний турбо ТХ 30 7,5*72; Шайба збільшена DIN 9021/Гост 16х51 б/ц; Шпилька стальна з різьбою М16х1000мм; Шуруп для лаг 8х80</t>
  </si>
  <si>
    <t xml:space="preserve">Дюбеля з саморізом </t>
  </si>
  <si>
    <t>Ділюент 3 Діф H3, 20 л; Neo Lyse C (*лізуючий розчин Нео Лайз C 1 L); Neo Detergent C (*миючий розчин Нео Детергент C 20 L); Реагент Bio-Ksel System PT plus 5 x 8 ml / Біо-Ксель плюс протромбіновий час  (ПЧ);  GLUCOSE SL (* Глюкоза СР R1: 1x500 мл); Холестерин LS Mono (метод CHOD-PAP) (4x60 мл + 1x3 мл); GAMMA GT (* Гамма-ГТ R1: 1x200 мл R2: 1x50 мл)</t>
  </si>
  <si>
    <t>Ділюент 3 Діф Н3, 20 л; Лайз 3 Діф Н3,0.5 л; Рінз 3 Діф Н3, 20л</t>
  </si>
  <si>
    <t>Ділюент 3 Діф Н3, 20л; Лайз 3 Діф Н3, 0.5; Рінз 3 Діф Н3, 20 л; Проб Клінер 3 Діф Н3, 0.1 л; Контрольний матеріал СВС-3D. 2 мл, нормальний; Реагент Bio-Ksel System PT plus 5x8 ml/ Біо-Ксель плюс протромбіновий час (ПЧ); GLUCOSE SL (* Глюкоза CP R1: 1х500мл); Тестові кювети(500шт)</t>
  </si>
  <si>
    <t>Ділюент 3Діф НЗ 20л; Neo Lyse C (лізуючий розчин Нео Лайз С 1 L); Neo Cleaner 100 (миючий розчин Нео Клінер 100 100ml)</t>
  </si>
  <si>
    <t xml:space="preserve">ЕКО ТЕПЛО ДРОГОБИЧ
</t>
  </si>
  <si>
    <t>Еко кріплення труби 20 одинарне 35729</t>
  </si>
  <si>
    <t>Еко труба Glass Fiber CONCEPT PN 20x20; Еко муфта 20-1/2 МРВ; Еко муфта 20-1/2 р.зов. ППР МР3</t>
  </si>
  <si>
    <t>Ел. провід 2*1,5 15м; Вилка електр.</t>
  </si>
  <si>
    <t>Електрична енергія з постачанням та передачею</t>
  </si>
  <si>
    <t>Електроди "Моноліт"</t>
  </si>
  <si>
    <t>Електронагрівач проточної води TWH-3G 3 кВт, до+60град, GRUNHELM 64625</t>
  </si>
  <si>
    <t>Електрохірургічний апарат №1(НК 024:2019 - 44776 Електрохірургічна система); Електрохірургічний апарат №2 (НК 024:2019 - 44776 Електрохірургічна система)</t>
  </si>
  <si>
    <t>Електрохірургічний апарат, НК 024:2019 - 44776 Електрохірургічна система</t>
  </si>
  <si>
    <t>Емаль ПФ 115 0,9 кг біла; Емаль ПФ 115 0,9 кг жовта</t>
  </si>
  <si>
    <t>Емаль ПФ 115 2,7 кг біла; Емаль ПФ 115 2,7 кг синя</t>
  </si>
  <si>
    <t>Емаль Універ.</t>
  </si>
  <si>
    <t>Емаль червона 2,8 кг; Емаль 0,9 кг</t>
  </si>
  <si>
    <t>Ендоскопічний відеозаписуючий пристрій Full HD</t>
  </si>
  <si>
    <t>ЖАГАЛЯК МАРІЯ ІВАНІВНА</t>
  </si>
  <si>
    <t>Желатин р-н 10% 10,0 амп №10</t>
  </si>
  <si>
    <t>Жук Іван Костянтинович</t>
  </si>
  <si>
    <t>Жук Юрій Іванович</t>
  </si>
  <si>
    <t>Журнал Довідник головної медичної сестри 12 міс. з 01.01.2023р.; Журнал Кадровик-01 12 міс. з 01.01.2023р.; Журнал Управління закладом охорони здоров'я 12 міс. з 01.01.2023р.</t>
  </si>
  <si>
    <t>Журнал запису ренгенологічних досліджень;  Журнал обліку прийому хворих;  Бланк А5 формат 063; Бланк А5 інформована згода; Журнал дезкамерної обробки; Журнал контролю роботи стерилізаторів; Бланк А4 лікарське свідоцтво про смерть; Бланк А4 довідка про призначення і виплати державної допомоги; Бланк А4 довідка про тимчасову непрацездатність; Бланк довідка формат 095; Журнал в клітинку 192 арк; Журнал в клітинку 80 арк</t>
  </si>
  <si>
    <t>Журнал операцій офсет; Журнал обліку відділеннями отриманих і викор офсет; Бланк А4 передтрансфузійний  епікриз офсет; Бланк А4 листок призначень препаратів газет; Бланк А4 передопераційний огляд газет; Бланк А4 листок реєстрації переливання транф офсет; Бланк А3 листок реєстрації переливання транф офсет</t>
  </si>
  <si>
    <t>Журнали; Бланки</t>
  </si>
  <si>
    <t>ЗЕЛЕНЮК ДМИТРО ВОЛОДИМИРОВИЧ</t>
  </si>
  <si>
    <t>Закупівля без використання електронної системи</t>
  </si>
  <si>
    <t>Замок врізний</t>
  </si>
  <si>
    <t>Заправка та відновлення  картриджів Canon/HP/Xerox в кількості 2 (дві) штуки і Kyacera в кількості 1 (одна) штука</t>
  </si>
  <si>
    <t>Заправка та відновлення картриджів Canon/HP/Xerox в кількості 2 (дві) штуки</t>
  </si>
  <si>
    <t>Заправка та відновлення картриджів Canon/HP/Xerox в кількості 2 (дві) штуки і Kyacera в кількості 2 (дві) штука</t>
  </si>
  <si>
    <t>Заправка та відновлення картриджів Canon/HP/Xerox в кількості 5 (дві) штуки і Kyacera в кількості 2 (одна) штука, відновлення картриджів Canon 737-1шт</t>
  </si>
  <si>
    <t>Засіб дезінфікуючий "Бланідас 300 (Blanidas 300)"гранули, 1 кг; Засіб дезінфікуючий "Бланідас 300 (Blanidas 300)"таблетки, 300 шт</t>
  </si>
  <si>
    <t>Засіб дезінфікуючий "Віпасепт (Vipasept)", 5000мл; Серветки Манорапід преміум клінік у м’якій упаковці з клапаном, 100 шт</t>
  </si>
  <si>
    <t>Звіт створено 23 березня о 15:59 з використанням http://zakupki.prom.ua</t>
  </si>
  <si>
    <t>Зміщувач для кухні Wezer YUB4-R279,рефлекторний гусак,гайка</t>
  </si>
  <si>
    <t>Зонд (катетер) шлунковий №30( код НК 024:2019-38561 Зонд назогастральний / орогастральний); Джгут для венозних маніпуляцій для дорослих( код НК 024:2019-35844 Джгут на верхню / нижню кінцівку, багаторазового використання)</t>
  </si>
  <si>
    <t>КІТ ВОЛОДИМИР ВОЛОДИМИРОВИЧ</t>
  </si>
  <si>
    <t>КАРПЯК ІГОР ІВАНОВИЧ</t>
  </si>
  <si>
    <t>КАРХУТ АНДРІЙ ІГОРОВИЧ</t>
  </si>
  <si>
    <t>КИСЛОТА АМІНОКАПРОНОВА розчин для інфузій, 50 мг/мл, по 100 мл у пляшках; АНАЛЬГІН розчин для ін'єкцій, 500 мг/мл, по 2 мл №10; ДЕКАСАН розчин 0,2 мг/мл, по 200 мл в пляшках скляних; МАНІТ розчин для інфузій, 150 мг/мл, по 200 мл у пляшках; МЕЛЬДОНІЙ розчин для ін'єкцій, 100 мг/мл, по 5 мл в ампулі; по 5 ампул у контурній чарунковій упаковці; по 2 контурні чарункові упаковки в пачці; НЕБУТАМОЛ розчин для інгаляцій, 1 мг/мл, по 2 мл №40; НЕБУФЛЮЗОН суспензія для інгаляцій, 1,0 мг/мл, по 2 мл у контейнері одноразовому; по 10 контейнерів у пакеті; по 1 пакету в пачці з картону; ПЕНТОКСИФІЛІН розчин для ін’єкцій, 20 мг/мл, по 5 мл в ампулі; по 5 ампул розчину в контурній чарунковій упаковці; по 2 контурні чарункові упаковки в пачці з картону; РЕОПОЛІГЛЮКІН розчин для інфузій, по 200 мл у пляшках; РЕОСОРБІЛАКТ розчин для інфузій, по 200 мл; ТІВОРТІН розчин для інфузій, 42 мг/мл, по 100 мл у пляшці; по 1 пляшці у пачці; НАТРІЮ ХЛОРИД розчин для ін'єкцій, 9 мг/мл, по 5 мл в ампулі; по 5 ампул у контурній чарунковій упаковці; по 1 контурній чарунковій упаковці в пачці; КАЛІЮ ХЛОРИД концентрат для розчину для інфузій, 75 мг/мл, по 20 мл</t>
  </si>
  <si>
    <t>КОВАЛЬСЬКА ЛЮДМИЛА-ЛЮСІАННА МИХАЙЛІВНА</t>
  </si>
  <si>
    <t>КОЗЛОВСЬКИЙ ВАДИМ МИХАЙЛОВИЧ</t>
  </si>
  <si>
    <t>КОМУНАЛЬНЕ НЕКОМЕРЦІЙНЕ ПІДПРИЄМСТВО "ДРОГОБИЦЬКА МІСЬКА ЛІКАРНЯ № 5" ДРОГОБИЦЬКОЇ МІСЬКОЇ РАДИ</t>
  </si>
  <si>
    <t>КОМУНАЛЬНЕ НЕКОМЕРЦІЙНЕ ПІДПРИЄМСТВО "ДРОГОБИЦЬКА МІСЬКА ЛІКАРНЯ №3" ДРОГОБИЦЬКОЇ МІСЬКОЇ РАДИ</t>
  </si>
  <si>
    <t>КОМУНАЛЬНЕ НЕКОМЕРЦІЙНЕ ПІДПРИЄМСТВО "ДРОГОБИЦЬКА МІСЬКА ПОЛІКЛІНІКА" ДРОГОБИЦЬКОЇ МІСЬКОЇ РАДИ</t>
  </si>
  <si>
    <t>КОМУНАЛЬНЕ НЕКОМЕРЦІЙНЕ ПІДПРИЄМСТВО "СТЕБНИЦЬКА МІСЬКА ЛІКАРНЯ" ДРОГОБИЦЬКОЇ МІСЬКОЇ РАДИ</t>
  </si>
  <si>
    <t>КОМУНАЛЬНЕ НЕКОМЕРЦІЙНЕ ПІДПРИЄМСТВО ЛЬВІВСЬКОЇ ОБЛАСНОЇ РАДИ "ЛЬВІВСЬКА ОБЛАСНА КЛІНІЧНА ЛІКАРНЯ"</t>
  </si>
  <si>
    <t>КОМУНАЛЬНЕ НЕКОМЕРЦІЙНЕ ПІДПРИЄМСТВО ЛЬВІВСЬКОЇ ОБЛАСНОЇ РАДИ "ЛЬВІВСЬКИЙ ОБЛАСНИЙ ЦЕНТР СЛУЖБИ КРОВІ"</t>
  </si>
  <si>
    <t>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t>
  </si>
  <si>
    <t>КОМУНАЛЬНЕ ПІДПРИЄМСТВО "ДРОГОБИЧВОДОКАНАЛ" ДРОГОБИЦЬКОЇ МІСЬКОЇ РАДИ ЛЬВІВСЬКОЇ ОБЛАСТІ</t>
  </si>
  <si>
    <t>КОМУНАЛЬНЕ ПІДПРИЄМСТВО ЛЬВІВСЬКОЇ ОБЛАСНОЇ РАДИ "ДРОГОБИЦЬКЕ МІЖМІСЬКЕ БЮРО ТЕХНІЧНОЇ ІНВЕНТАРИЗАЦІЇ ТА ЕКСПЕРТНОЇ ОЦІНКИ"</t>
  </si>
  <si>
    <t>КОМУНАЛЬНИЙ ЗАКЛАД ЛЬВІВСЬКОЇ ОБЛАСНОЇ РАДИ "ЛЬВІВСЬКЕ ОБЛАСНЕ ПАТОЛОГОАНАТОМІЧНЕ БЮРО"</t>
  </si>
  <si>
    <t>КОПЧАК ОЛЕГ ІВАНОВИЧ</t>
  </si>
  <si>
    <t>КУХАР ВОЛОДИМИР ІВАНОВИЧ</t>
  </si>
  <si>
    <t>Кабель пацієнта на 10 відведень; Електрод багаторазовий присоска дорослий; Електрод багаторазовий прищіпка дорослий</t>
  </si>
  <si>
    <t>Кабельний канал 15*10 м/п; Кабельний канал 16*16 м/п; Кабельний канал 20*10 м/п; ПВС 3х4 GAL KAT TУ У 27,3,38456790-016:2019; Провід АППВ 2Х2,5 Одеса Гост; Провід ВВП 2-2,5 ВВГ сірий Одеса кабель нгд 2017 р; Провід ШВВП 2Х2,5 ГОСТ Pro; ШВВП 2Х2,5 ГОСТ одеса (диш) Одеса кабель 2017р.</t>
  </si>
  <si>
    <t>Кабельний канал 20*10 м/п; Кабельний канал 25*25 м/п; Кабельний канал 40*25 м/п; Кабельний канал 40*40 м/п; Коробка розподільча зовнішння 70х70; Розетка 2 гнізда 3/3; Розетка 3/3 16А кераміка</t>
  </si>
  <si>
    <t>Кальцію глюконат-Дарниця р-н д/ін. 10% 5 мл №10; Дексаметазону фосфат р-н д/ін. 0,4% 1 мл №10; АТФ р-н д/ін. 1% 1 мл №10</t>
  </si>
  <si>
    <t>Калію йодид 0,125 табл. №10</t>
  </si>
  <si>
    <t>Калію хлорид конц.д/п р-ну д/інф. 7,5% 10 мл</t>
  </si>
  <si>
    <t>Калію хлорид концентрат для розчину для інфузій 75 мг/мл по 10 мл; Маніт розчин для інфузій 150 мг/мл по 200 мл; Новокаїн розчин для ін’єкцій 5 мг/мл по 200 мл; Ропілонг, розчин для ін’єкцій 7,5 мг/мл по 10 мл у ампулах скляних №5; Ропілонг, розчин для інфузій 2 мг/мл по 100 мл у флаконах скляних</t>
  </si>
  <si>
    <t>Канюля інфузійна 22G 0,9х25 мм (НК 024:2019 10678 – Катетер для введення); Системи для внутрішньовенної інфузії  Смарт Сет (НК 024:2019 16649- Основний набір внутрішньовенного введення); Системи ПР, з маталевою голкою (НК 024:2019 16649 Основний набір внутрішньовенного введення); Рукавички оглядові латексні нестерильні неприпудрені, розмір S (НК 024:2019 47172 - Непудровані, оглядові / процедурні рукавички з латексу гевеї, нестерильні); Рукавички оглядові латексні нестерильні неприпудрені, розмір M (НК 024:2019 47172 - Непудровані, оглядові / процедурні рукавички з латексу гевеї, нестерильні); Рукавички оглядові латексні нестерильні неприпудрені, розмір L (НК 024:2019 47172 - Непудровані, оглядові / процедурні рукавички з латексу гевеї, нестерильні); Шприц 2 ml (мл) трьохкомпонентний ін'єкційний одноразового застосування з голкою 0,6х32 mm (мм) (23Gх1 1/4") (НК 024:2019 47017 – Шприц загального призначення, разового застосування); Шприц 5 ml (мл) трьохкомпонентний ін'єкційний одноразового застосування з голкою 0,7х38 mm (мм) (22Gх1 1/2") (НК 024:2019 47017 – Шприц загального призначення, разового застосування); Шприц 10 мл двокомпонентний з 1 голкою") (НК 024:2019 47017 – Шприц загального призначення, разового застосування); Шприц 20мл двокомпонентний з 1 голкою (НК 024:2019 47017 – Шприц загального призначення, разового застосування)</t>
  </si>
  <si>
    <t>Капуста білокачанна ваг.</t>
  </si>
  <si>
    <t>Картоплечистка МОК 150М</t>
  </si>
  <si>
    <t xml:space="preserve">Картопля </t>
  </si>
  <si>
    <t>Картопля молода</t>
  </si>
  <si>
    <t>Катетер Фолея 2-х ходов 16(код НК 024:2019-34917 Внутрішній уретральний дренажний катетер); Катетер Фолея 2-х ходов 18(код НК 024:2019-34917 Внутрішній уретральний дренажний катетер); Катетер аспіраційний для відсмоктування №14(код НК 024:2019-34923 Катетер аспіраційної системи, загального призначення)</t>
  </si>
  <si>
    <t>Катетер аспіраційний для відсмоктування №6( код НК 024:2019-34923 Катетер аспіраційної системи, загального призначення), ; Катетер аспіраційний для відсмоктування №8( код НК 024:2019-34923 Катетер аспіраційної системи, загального призначення); Катетер аспіраційний для відсмоктування №10( код НК 024:2019-34923 Катетер аспіраційної системи, загального призначення); Катетер  типу метелик G23( код НК 024:2019-10678 Катетер для введення); Система для вливання інфузійного розчину ПР( код НК 024:2019-43324 Система для переливання рідин загального призначення)</t>
  </si>
  <si>
    <t>Кванадекс, концентрат для розчину для інфузій 100мкг/мл по 2 мл в ампулі №5; Максіцин, концентрат для розчину для інфузій 400 мг/20 мл, по 20 мл у флаконі; по 1 флакону в пачці з картону;  Натрію хлорид розчин для інфузій 9 мг/мл по 200 мл; Лаксерс, порошок для розчину для ін'єкцій по1000 мг/мл по 1 флакону з порошком у пачці з картону</t>
  </si>
  <si>
    <t>Кейдекс Ін'єкт, р-н 25 мг/мл 2 мл №5</t>
  </si>
  <si>
    <t>Кетолонг-Дарниця р-н д/ін. 30 мг/мл амп. 1 мл, контурн. чарунк. yп., пачка №10; Аскорбінова кислота-Дарниця  р-н д/ін. 50 мг/мл амп. 2 мл, контурн. чарунк. yп., пачка №10; Гідазепам ІС® табл. 0,05 г блістер №10; Кальцію хлорид  р-н д/ін. 100 мг/мл амп. 5 мл, контурн. чарунк. yп., пачка №10; Кофеїн-Бензоат натрію-Дарниця р-н д/ін. 100 мг/мл амп. 1 мл, контурн. чарунк. yп., пачка №10; Папаверин-Дарниця р-н д/ін. 20 мг/мл амп. 2 мл, контурн. чарунк. yп., пачка №10; Платифілін-Дарниця р-н д/ін. 2 мг/мл амп. 1 мл, контурн. чарунк. yп., пачка №10; Натрію хлорид-Дарниця р-н д/ін. 9 мг/мл амп. 5 мл №10; Аспаркам р-н д/ін. амп. 5 мл, блістер у пачці №10; Диклофенак натрію р-н д/ін. 2,5 % амп. 3 мл, блістер №10; Дротаверин-Дарниця р-н д/ін. 20 мг/мл амп. 2 мл, контурн. чарунк. yп., пачка №5; Еуфілін-Дарниця р-н д/ін. 20 мг/мл амп. 5 мл №10; Пентоксифілін-Дарниця р-н д/ін. 20 мг/мл амп. 5 мл, контурн. чарунк. yп., пачка №10; Пірацетам р-н д/ін. 20 % амп. 10 мл, блістер у пачці №10; Пентоксифілін-Дарниця табл. 200 мг контурн. чарунк. уп., пачка №20, ; Пірацетам-Дарниця табл. в/о 200 мг контурн. чарунк. уп. №60; Прозерин-Дарниця р-н д/ін. 0,5 мг/мл амп. 1 мл №10;  Венлафаксин-ЗН табл. 75 мг блістер №30; Гіацинтія табл. п/о 20мг №30; Доксепін-ЗН капс. тверд. 25 мг блістер №30; Еголанза табл. в/плівк. обол. 10 мг блістер №28; Міртазапін Сандоз табл. 30мг №20; Торендо табл. в/плівк. обол. 2 мг блістер №60; Солерон 200  табл. 200 мг блістер №60; Триттіко табл. пролонг. дії 75 мг блістер №30</t>
  </si>
  <si>
    <t>Кий дерево 20 мм Фенікс; Моп пасковий 5; Запаска мікрофібра; Відро звіджимом 12; Серветка Віскозна 10 шт;  Серветки Практік 10 шт; Скребок 3 шт Блиск; Губка кухонна 8 шт; Губка 10 для посуду; Скребки Хорека 10 шт;  Губка Ніколс Кухонна 10; Скребки 3 шт Іспанія; Набір Дошка + Ніж 1 уп; Таз для фруктів 9л; Відро господ. 14 л 1 шт; Набір для Прибирання 1 уп; Губка Банна масажна; Моп рефіл 44*16,5; Запаска мікрофібра; Губка Аравік банна косична; Моп рефіл 44*16,5; Щітка для підмітання кінський волос; Таз для фруктів 9 л; Серветка Універсальна 10 шт; Віник з ручкою 3 гатунок; Губка кухонна 8 шт; Губка 10 для посуду; Запаска мікрофібра; Відро НЕРЖАВІЙКА з кришкою 0382; Бак Оницнкований 32 л</t>
  </si>
  <si>
    <t>Килимок до ванної кімнати 0,65мм</t>
  </si>
  <si>
    <t>Кислота амінокапронова р-н для інф. 50 мг/мл по 100 мл; Декасан розчин 0,2 мг/мл, по 100мл в пляшках скляних; Лонгокаїн Хеві розчин для ін’єкцій, 5,0 мг/мл, по 5 мл у флаконі; по 5 флаконів у картонній пачці; Еуфілін розчин для ін’єкцій, 20 мг/мл, по 5 мл в ампулі; по 5 ампул у контурній чарунковій упаковці; по 2 контурні чарункові упаковки у пачці; КАЛІЮ ХЛОРИД концентрат для розчину для інфузій, 75 мг/мл, по 10мл у флаконах скляних</t>
  </si>
  <si>
    <t>Кислота амінокапронова р-н для інф. 50 мг/мл по 100 мл; біблок р-н для інф., 10мг/мл по 50 мл в пакетах №1; гекотон р-н для інф. по 400 мл; налбуфін р-н для ін. 10 мг/мл по 1 мл амп. №10; орнігіл р-н для інф. 5 мг/мл по 100 мл; реосорбілакт р-н для інф. по 200 мл</t>
  </si>
  <si>
    <t>Кислота амінокапронова розчин для інфузій 50 мг/мл по 100мл; Еуфілін, розчин для ін’єкцій, 20 мг/мл по 5 мл в ампулі №10; Кейдекс Ін’єкт, розчин для ін’єкцій, 25 мг/мл по 2 мл в ампулі №5; Реосорбілакт розчин для інфузій по 200 мл; Реосорбілакт розчин для інфузій по 400 мл</t>
  </si>
  <si>
    <t>Клей універсальний 1,2 кг; Клей "Мастер"</t>
  </si>
  <si>
    <t>Клексан р-н д/ін. 30000 МО 3 мл №1; Кальцію глюконат стабл. р-н д/ін. 100мг/мл 5 мл №10; Еноксапарин р-н д/ін. 3 мл №1; Глюкоза р-н д/ін. 50 мг/мл 200мл; Гепарин р-н д/ін. 5000 ОД 5 мл №5;  Гемотран р-н д/ін. 50 мг/мл 5 мл №10; Бліцеф пор. д/інф. 1 г №10</t>
  </si>
  <si>
    <t>Коагулятор Клія-Гемостат(код НК 024:2019-44776 Електрохірургічна система); Кліа-Гемогаспер( код НК 024:2019 Гнучкі ендоскопічні електрохірургічні щипці, одноразові)</t>
  </si>
  <si>
    <t>Код  ДК 021:2015-45450000-6 Інші завершальні будівельні роботи (Будівництво кисневої станції з генератором кисню з комплектом обладнання та підключенням корпусів до медичного газопостачання КНП «Стебницька міська лікарня» ДМР за адресою: Львівської обл., м. Стебник,вул. Січових Стрільців, 2)</t>
  </si>
  <si>
    <t xml:space="preserve">Код  ДК 021:2015-45450000-6 Інші завершальні будівельні роботи (Будівництво кисневої станції з генератором кисню з комплектом обладнання та підключенням корпусів до медичного газопостачання КНП «Стебницька міська лікарня» ДМР за адресою: Львівської обл., м. Стебник,вул. Січових Стрільців, 2)
</t>
  </si>
  <si>
    <t>Код  ДК 021:2015-45450000-6 Інші завершальні будівельні роботи (Капітальний ремонт операційного блоку № 2 в КНП «Стебницька міська лікарня» ДМР за адресою: Львівська обл., м. Стебник, вул. Січових Стрільців, 2 )</t>
  </si>
  <si>
    <t>Код  ДК 021:2015-45450000-6 Інші завершальні будівельні роботи (Капітальний ремонт операційного блоку № 2 в КНП «Стебницька міська лікарня» ДМР за адресою: Львівська обл., м. Стебник, вул. Січових Стрільців, 2)</t>
  </si>
  <si>
    <t>Код  ДК 021:2015-45450000-6 Інші завершальні будівельні роботи (Капітальний ремонт психоневрологічного відділення в КНП «Стебницька міська лікарня» ДМР за адресою: Львівська обл., м. Стебник, вул. Січових Стрільців, 2)</t>
  </si>
  <si>
    <t>Код  ДК 021:2015-45450000-6 –Інші завершальні будівельні роботи (Будівництво централізованого пункту зберігання і розподілу кисню КНП «Стебницька міська лікарня» ДМР за адресою: Львівської обл., м.Стебник, вул.Січових Стрільців,2)</t>
  </si>
  <si>
    <t>Код 021:2015-16810000-6 Частини для сільськогосподарської техніки(Лєска до косарки, Диск до косарки 40-Т)</t>
  </si>
  <si>
    <t>Код CPV</t>
  </si>
  <si>
    <t>Код ДК  021:2015-22850000-3 Швидкозшивачі та супутнє приладдя (папка-реєстратор А4 50мм, папка-реєстратор А4 75мм, сегрегатор)</t>
  </si>
  <si>
    <t xml:space="preserve">Код ДК 021-2015 - 33140000-3 - Медичні матеріали(Бинт марлевий 7мх14см нестерильний(НК 024:2019 - 48126 - Рулон марлевий, нестерильний), Бинт марлевий 5мх10см нестерильний(НК 024:2019 - 48126 - Рулон марлевий, нестерильний), Бинт гіпсовий 15х270см(НК 024:2019 - 33056 - Матеріал для накладення гіпсової пов'язки), Бинт гіпсовий 20х270 см(НК 024:2019 - 33056 - Матеріал для накладення гіпсової пов'язки), Вата н/с 100гр нестерильна(НК 024:2019 - 58232 - Рулон ватний, нестерильний), Пластир медичний на бавовняній основі 3*500(НК 024:2019 - 32207 - Лейкопластир для з'єднання країв ран), Пластир медичний на нетканній основі 3*500(НК 024:2019 - 32207 - Лейкопластир для з'єднання країв ран), Пластир медичний на поліетиленовій основі 3*500(НК 024:2019 - 32207 - Лейкопластир для з'єднання країв ран ), Бахіли ПЕ(НК 024:2019 - 61937 - Бахіли хірургічні), Шапочка одноразова(НК 024:2019 - 32297 - Шапочка хірургічна, одноразового використання, нестерильна), Манжета до тискоміра механічного(НК 024:2019 - 34978 - Манжета для вимірювання артеріального тиску, багаторазового застосування), Скарифікатор-ланцет №200(НК 024:2019 - 13472 – Скарифікатор),
Набір гінекологічний №10 (стандарт)(НК 024:2019 - 12955 - Набір для взяття мазків за Папаніколау), Голка двостороння  розмір 22G (0,7х38мм) колір чорний для вакуумного забору крові, одноразового використання стерильна, №100(НК 024:2019 - 12747 - Внутрішньоартерійна голка), Джгут венозний автоматичний(НК 024:2019 - 35844 - Джгут на верхню / нижню кінцівку, багаторазового використання), Пайпель внутрішньоматковий  одноразового використання  стерильний(НК 024:2019 - 37448 - Вагінальний аплікатор, одноразовий), Серветка  із нетканого матеріалу просочена 70% ізопропіловим спиртовим розчином, 30х60 мм №100(НК 024:2019 -47237 - Серветка для очищення шкіри), Пробірка конічна градуйована з кришкою  тип Фалькон 15 мл стерильна(НК 024:2019 -37563 - Пробірка для збору зразків крові не вакуумна без домішок IVD), Трубка трахеостомна р.7,5 з манжетою низького тиску(НК 024:2019 -38792 - Трубка трахеостомічна стандартна, багаторазового використання), Голка пункційна (спінальна) в асортименті(НК 024:2019 -61546 - Голка для анестезії з локалізацією нерва), Голка хірургічна(НК 024:2019 -32357 - Голка шовна, багаторазового використання), Нитка хірургічна поліпропіленова не розсмоктуюча 4/0(НК 024:2019 -47194 - Хірургічна нитка з поліуретану на основі поліефіру), Ємкість для сечі 120мм стерильна(НК 024:2019 -12542 - Контейнер для збирання середньої порції сечі IVD), Контейнер полімерний КДПО-8-8.0(НК 024:2019 -13730 - Стерилізаційний контейнер), Катетер типу Фолея JS 2-х ходовий Fr16(НК 024:2019 -34926 - Катетер сечовідний загального призначення), Катетер типу Фолея JS 2-х ходовий Fr18(НК 024:2019 -34926 - Катетер сечовідний загального призначення), Катетер типу Фолея JS 2-х ходовий  20(НК 024:2019 -34926 - Катетер сечовідний загального призначення), Сітка поліпропіленова хірургічна стерильна, одношарова, легка, біла, 6 х 11 см, (Альфа-Віта 90 СТАНДАРТ)( НК 024:2019 -44688 - Сітка хірургічна універсальна, з синтетичного полімеру, що розсмоктується), Сітка поліпропіленова хірургічна стерильна, двошарова, середня, білий у поєднанні з синім, 6 х 11 см, (Омега 2 СТАНДАРТ)( НК 024:2019 -44688 - Сітка хірургічна універсальна, з синтетичного полімеру, що розсмоктується), Сітка поліпропіленова хірургічна стерильна, двошарова, важка, біла, 6 х 11 см, (Омега 3 СТАНДАРТ)( НК 024:2019 -44688 - Сітка хірургічна універсальна, з синтетичного полімеру, що розсмоктується), Сітка поліпропіленова хірургічна стерильна, одношарова, легка, біла, 15 х 15 см, (Альфа-Віта 90 СТАНДАРТ(НК 024:2019 -44688 - Сітка хірургічна універсальна, з синтетичного полімеру, що розсмоктується), Сітка поліпропіленова хірургічна стерильна, двошарова, середня, білий у поєднанні з синім, 15 х 15 см, (Омега 2 СТАНДАРТ)( НК 024:2019 -44688 - Сітка хірургічна універсальна, з синтетичного полімеру, що розсмоктується), Сітка поліпропіленова хірургічна стерильна, двошарова, важка, біла, 15 х 15 см, (Омега 3 СТАНДАРТ)( НК 024:2019 -44688 - Сітка хірургічна універсальна, з синтетичного полімеру, що розсмоктується),
Нитка хірургічна USP1 (M4), ПОЛІАМІД, кручена, біла(НК 024:2019 -47194 - Хірургічна нитка з поліуретану на основі поліефіру), Нитка хірургічна USP3 (M6), ПОЛІАМІД, кручена, біла(НК 024:2019 -47194 - Хірургічна нитка з поліуретану на основі поліефіру), Кетгут стерильний без голки ТМ"Ігар" №4(НК 024:2019 -13898 - Хірургічна  нитка кетгут), Кетгут стерильний без голки ТМ"Ігар" №5(НК 024:2019 -13898 - Хірургічна  нитка кетгут), Кетгут стерильний без голки ТМ"Ігар" №6(НК 024:2019 -13898 - Хірургічна  нитка кетгут), Вікрил 0 (3,5)90см(НК 024:2019 -45401 - Хірургічна нитка з поліґлактину, проти бактерійна), Шовк стерильний без голки ТМ"Ігар" №3 2/0(М3)( НК 024:2019 -13910 - Стерильна хірургічна нитка з натурального шовку), Шовк стерильний без голки ТМ"Ігар" №4 1(М4)( НК 024:2019 -13910 - Стерильна хірургічна нитка з натурального шовку), Шовк стерильний без голки ТМ"Ігар" №5 2(М5)( НК 024:2019 - 13910 - Стерильна хірургічна нитка з натурального шовку), Шовк стерильний без голки ТМ"Ігар" №6 3(М6)( НК 024:2019 -13910 - Стерильна хірургічна нитка з натурального шовку), Лезо до скальпеля, стерильне №15(НК 024:2019 -37445 - Лезо скальпеля, одноразового використання),
Лезо до скальпеля, стерильне №23(НК 024:2019 - 37445 - Лезо скальпеля, одноразового використання), Лезо до скальпеля, стерильне №24(НК 024:2019 -37445 - Лезо скальпеля, одноразового використання), Пелюшка вологопоглинаюча 60*90(НК 024:2019 -60709 - Пелюшка вбирає), Пелюшка вологопоглинаюча 40*60(НК 024:2019 -60709 - Пелюшка вбирає), Підгузники для дорослих XL(НК 024:2019 -11239 - Підгузник для дорослих), Подовжувач для інфузійних магістралей(НК 024:2019 -17541 - Разовий катетер-балон з помпою), Зонд шлунковий №18(НК 024:2019 -38561 - Зонд назогастральний / орогастральний), Одноразова ін’єкційна голка (Голка для ін’єкції, одноразова, діаметр 1,75 mm, довжина 180 cm, із замикаючим пристроєм, з металевим дистальним кінцем, діаметр канюлі 0,5 mm, довжина голки 5 mm)( НК 024:2019 -12734 - Біопсійна разова голка, загального призначення), Одноразова цитологічна щітка (Щітка цитологічна «Broncho-Set», одноразова, діаметр 1,75 mm, довжина 120 cm, діаметр щетини 2,5 mm(НК 024:2019 -32368 - Щітка цитологічна цервікальна), Щітки для чищення багаторазові (Щітка для чищення, двостороння, багаторазова, діаметр 1,8 mm, довжина 160 cm, діаметр щетини 4,0 mm(НК 024:2019 -38833 - Щітка цитологічна до ендоскопа гнучка, багаторазового використання),
Одноразовий загубник для дорослих з еластичною гумкою (Загубник, одноразовий, з ременем для голови)( НК 024:2019 - 44545 - Одноразовий загубник для дихального апарату), Шпатель для язика  одноразовий(НК 024:2019 - 14066 - Хірургічний шпатель для язика), Зонд шлунковий №30(НК 024:2019 - 38561 - Зонд назогастральний / орогастральний), Дренаж типу"Редон"( НК 024:2019 - 58770 - Набір для дренування плевральної порожнини), Катетер (канюля) в/в типу "метелик"  23 G однор. викор(НК 024:2019 - 10678 - Катетер для введення), Катетер (канюля) в/в G18(НК 024:2019 - 10678 - Катетер для введення), Катетер (канюля) в/в G20(НК 024:2019 - 10678 - Катетер для введення), Катетер (канюля) в/в G22(НК 024:2019 - 10678 - Катетер для введення), Трубка ендотрахеальна №3,5 без манжети(НК 024:2019 - 47691 - Трубка ендотрахеальна з аспіраційної манжетою), Трубка ендотрахеальна №4,0 без манжети(НК 024:2019 - 47691 - Трубка ендотрахеальна з аспіраційної манжетою), Трубка ендотрахеальна №4,5 без манжети(НК 024:2019 - 47691 - Трубка ендотрахеальна з аспіраційної манжетою), Трубка ендотрахеальна з манжеткою  №5,0(НК 024:2019 - 47691 - Трубка ендотрахеальна з аспіраційної манжетою), Трубка ендотрахеальна з манжеткою  №5,5(НК 024:2019 - 47691 - Трубка ендотрахеальна з аспіраційної манжетою), Трубка ендотрахеальна з манжетою № 6,5(НК 024:2019 - 47691 -Трубка ендотрахеальна з аспіраційної манжетою), Трубка ендотрахеальна з манжетою № 6,0(НК 024:2019 - 47691 - Трубка ендотрахеальна з аспіраційної манжетою), Трубка ендотрахеальна з манжетою № 7,0(НК 024:2019 - 47691 - Трубка ендотрахеальна з аспіраційної манжетою), Трубка ендотрахеальна з манжетою № 7,5(НК 024:2019 - 47691 - Трубка ендотрахеальна з аспіраційної манжетою), Трубка ендотрахеальна з манжетою № 8,5(НК 024:2019 - 47691 - Трубка ендотрахеальна з аспіраційної манжетою), Катетер аспіраційний для відсмоктування з вакум контролем №12(НК 024:2019 - 10749 - Аспіраційний трахеальний катетер), Катетер аспіраційний для відсмоктування з вакум контролем №12(НК 024:2019 - 10749 - Аспіраційний трахеальний катетер), Катетер аспіраційний для відсмоктування з вакум контролем №16(НК 024:2019 - 10749 - Аспіраційний трахеальний катетер), Відріз марлевий 1000х90см нестерильний(НК 024:2019 - 48127 - Стрічка марлева), Катетер для ін'єкцій  типу «метелик» з луер адаптором  розмір 23G одноразового використання стерильний №100(НК 024:2019 - 34923 - Катетер аспіраційної системи, загального призначення), Сечоприймач зі зливом(НК 024:2019 - 47459 - Сечоприймач системи моніторення сечовипускання), Система ПК(НК 024:2019 - 43324 - Система для переливання рідин загального призначення), Пристрій для вливання інфузійних розчинів ПР(НК 024:2019 - 43324 - Система для переливання рідин загального призначення), Шприц одноразовий  з голкою 10мл(НК 024:2019 - 63095 - Шприц / голка загального призначення), Шприц одноразовий  з голкою 5мл(НК 024:2019 - 63095 - Шприц / голка загального призначення), Шприц одноразовий  з голкою 2мл(НК 024:2019 - 63095 - Шприц / голка загального призначення), Рукавички стерильні 6,5(НК 024:2019 -47179 - Припудрені, оглядові / процедурні рукавички з латексу гевеї, стерильні), Рукавички стерильні 7,0(НК 024:2019 -47179 - Припудрені, оглядові / процедурні рукавички з латексу гевеї, стерильні), Рукавички стерильні 7,5(НК 024:2019 -47179 - Припудрені, оглядові / процедурні рукавички з латексу гевеї, стерильні), Рукавички стерильні 8,0(НК 024:2019 -47179 - Припудрені, оглядові / процедурні рукавички з латексу гевеї, стерильні), Латексні хірургічні рукавички без пудри стерильні Medi-Grip® PF, розмір 6.0(НК 024:2019 -47178 - Непудровані, оглядові / процедурні рукавички з латексу гевеї, стерильні), Латексні хірургічні рукавички без пудри стерильні Medi-Grip® PF, розмір 7.0(НК 024:2019 -47178 - Непудровані, оглядові / процедурні рукавички з латексу гевеї, стерильні), Латексні  хірургічні рукавички стерильні без пудри, ENCORE Latex Ortho, розмір 7.0(НК 024:2019 -47178 - Непудровані, оглядові / процедурні рукавички з латексу гевеї, стерильні), Латексні  хірургічні рукавички стерильні без пудри, ENCORE Latex Ortho, розмір 8.0(НК 024:2019 -47178 -Непудровані, оглядові / процедурні рукавички з латексу гевеї, стерильні), GAMMEX® без пудри з AMT™ антимікробною технологією Антимікробні,стерильні,неопудрені,латексні хірургічні рукавички, р. 7.0(НК 024:2019 -47178 - Непудровані, оглядові / процедурні рукавички з латексу гевеї, стерильні), GAMMEX® без пудри з AMT™ антимікробною технологією Антимікробні,стерильні,неопудрені,латексні хірургічні рукавички, р. 8.0(НК 024:2019 -47178 - Непудровані, оглядові / процедурні рукавички з латексу гевеї, стерильні))
</t>
  </si>
  <si>
    <t>Код ДК 021-2015 - 33160000-9 Устаткування для операційних блоків (Електрохірургічний апарат №1, Електрохірургічний апарат №2 (НК 024:2019 - 44776 Електрохірургічна система))</t>
  </si>
  <si>
    <t>Код ДК 021-2015 33160000-9 Устаткування для операційних блоків (Електрохірургічний апарат, НК 024:2019 - 44776 Електрохірургічна система)</t>
  </si>
  <si>
    <t>Код ДК 021-2015 33160000-9 Устаткування для операційних блоків (Ручка скальпеля(НК 024:2019 - 44959 - Тримач хірургічного леза), Лезо скальпеля №15(НК 024:2019 - 32282- Лезо скальпеля), Витратомір 15л/хв для О2(НК 024:2019 – 37132-Расходомер кисневої терапії), Затискач Москіт зігнутий 180мм(НК 024:2019 – 10904 - Затискач для хірургічних інструментів), Корцанг  прямий(НК 024:2019 – 62466 - Щипці хірургічні для м'яких тканин, у формі пінцета, багаторазового використання), Ножиці 170мм прямі(НК 024:2019 – 38727 - Хірургічні ножиці загального призначення), Пінцет анатомічний 200мм медичний(НК 024:2019 – 15800 -  Препарувальний пінцет), Ретрактор для грудини рейковий(НК 024:2019 –45918 - Середній/Глибокий рано розширювач), Ретрактор Фарабеф 120мм(НК 024:2019 –45918 - Середній/Глибокий рано розширювач), Щипці кульовки(НК 024:2019 – 35804 - Затискач для матки), Конхотом гінекологічний(НК 024:2019 – 35286- Викусувач біобсійний), Кюретка для  вискоблювання слизової матки гостра №0(НК 024:2019 – 32594 - Кюретка внутрішньоматкова), Кюретка для  вискоблювання слизової матки гостра №3(НК 024:2019 – 32594 - Кюретка внутрішньоматкова), Кюретка для  вискоблювання слизової матки гостра №4(НК 024:2019 – 32594 - Кюретка внутрішньоматкова), Дзеркало вагінальне по Куско 110*30(НК 024:2019 – 35352-Дзеркало вагінальне), Дзеркало вагінальне по Куско 115*32(НК 024:2019 – 35352 - Дзеркало вагінальне), Коробка стерилізаційна з нержавіючої сталі Діаметр 340 мм ,вис. 145мм(НК 024:2019 – 13730 - Стерилізаційний контейнер), Коробка стерилізаційна з нержавіючої сталі Діаметр 340 мм ,вис. 190мм(НК 024:2019 – 13730 - Стерилізаційний контейнер), Коробка стерилізаційна з нержавіючої сталі Діаметр 240 мм , вис. 145мм(НК 024:2019 – 13730 - Стерилізаційний контейнер), Коробка стерилізаційна з нержавіючої сталі Діаметр 290 мм ,вис. 145мм(НК 024:2019 – 13730 - Стерилізаційний контейнер), Голкотримач 180,0мм(НК 024:2019 – 12726 - Багаторазовий тримач голки), Голкотримач 150мм(НК 024:2019 – 12726 - Багаторазовий тримач голки), Дзеркало по  Річардсону(НК 024:2019 – 12551 - Акушерське дзеркало), Дзеркало по Fritsch для черевної стінки(НК 024:2019 – 12551 - Акушерське дзеркало), Ножиці 175 мм тупокінцеві зігнуті(НК 024:2019 – 38727 - Хірургічні ножиці загального призначення), Затискач 200мм зігнутий Піана(НК 024:2019 – 10904 - Затискач для хірургічних інструментів), Затискач  к/с Кохера 1х2 зубий 200мм зігнутий(НК 024:2019 – 10904 - Затискач для хірургічних інструментів), Затискач Алліс 190мм(НК 024:2019 - 10904 - Затискач для хірургічних інструментів), Ножиці т/к зігнуті 140мм( НК 024:2019 - 38727 - Хірургічні ножиці загального призначення), Щипці гемороїдальні(НК 024:2019 - 35804 - Затискач для матки), Набір розширювачів Гегара(НК 024:2019 - 45918 - Середній/Глибокий ранорозширювач), Ножиці для розрізання повязок з ґудзиком(НК 024:2019 – 38727 - Хірургічні ножиці загального призначення), Пінцет анатомічний 150мм медичний(НК 024:2019 – 15800 - Препарувальний пінцет), Пінцет хірургічний 150мм(НК 024:2019 – 15800 - Препарувальний пінцет), Пінцет мікрохірургічний по Adson довжина 12см(НК 024:2019 – 15800 - Препарувальний пінцет), Пінцет мікрохірургічний по Adson довжина 18см(НК 024:2019 – 15800 - Препарувальний пінцет), Ретрактор хірургічний, WEITLANER, самозберігаючий, 165мм(НК 024:2019 –45918 - Середній/Глибокий рано розширювач), Дисектор(НК 024:2019 –10904 - Затискач для хірургічних інструментів), Столик інструментальний(НК 024:2019 – 34873 - Меблі для лікарень), Простирадло одноразове в рулоні 08*100(НК 024:2019 – 35549 - Простирадло для операційного столу), Відсмоктувач  медичний(НК 024:2019 – 17435 - Аспіраційна система), Опромінювач бактерицидний з лампою 30Вт(НК 024:2019 – 35150-Лампа ультрафіолетова герміцидна), Опромінювач бактерицидний з лампою 30Вт та екраном(НК 024:2019 -  35150-Лампа ультрафіолетова герміцидна), Зволожувач бульбашковий з тонкодисперсним розпиленням 400мл(НК 024:2019 –35113 - Зволожувач дихальних сумішей))</t>
  </si>
  <si>
    <t>Код ДК 021:2015 - 09210000-4 Мастильні засоби (мастило "Рідкий кллюч", рідке скло)</t>
  </si>
  <si>
    <t>Код ДК 021:2015 - 15610000-7 Продукція борошномельно-круп'яної промисловості (рис,крупа гречана,пластівці,пшоно)</t>
  </si>
  <si>
    <t>Код ДК 021:2015 - 18937000-6 Пакувальні мішки (мішки господарські)</t>
  </si>
  <si>
    <t>Код ДК 021:2015 - 19520000-7 Пластмасові вироби(Набір гінекологічний комплект №9 стерильний JS, одноразового використання(код НК 024:2019-44059 Одноразовий акушерсько-гінекологічний хірургічний набір, що не містить лікарських засобів))</t>
  </si>
  <si>
    <t>Код ДК 021:2015 - 19640000-4 Поліетиленові мішки та пакети для сміття(Мішки д/сміття Чіко 120*10, Мішки д/сміття Чіко 35*50, Пакети 240*5, Мішки д/сміття Чисто 60*15)</t>
  </si>
  <si>
    <t>Код ДК 021:2015 - 19640000-4 Поліетиленові мішки та пакети для сміття(мішки,пакети для сміття)</t>
  </si>
  <si>
    <t>Код ДК 021:2015 - 24320000-3 Основні органічні хімічні речовини( Формалін р-н 5л)</t>
  </si>
  <si>
    <t>Код ДК 021:2015 - 24450000-3 Агрохімічна продукція(24455000-8 - Дезинфекційні засоби (Септософт, 1000мл))</t>
  </si>
  <si>
    <t>Код ДК 021:2015 - 31214140-2 Вимикачі світла (вимикач одноклавішний,вимикач двоклавішний,розетка з заземленням)</t>
  </si>
  <si>
    <t>Код ДК 021:2015 - 31410000-3 Гальванічні елементи (батарейки)</t>
  </si>
  <si>
    <t>Код ДК 021:2015 - 33120000-7 Системи реєстрації медичної інформації та дослідне обладнання (тест-касета Sniper (Снайпер) д/визн. 5 наркотиків (сеча))</t>
  </si>
  <si>
    <t>Код ДК 021:2015 - 33120000-7 Системи реєстрації медичної інформації та дослідне обладнання (тест-смужки для визначення вагітності Itest (Ітест) Plus, тести для визначення тропоніну І, КК-МВ, міоглобіну №1 CITO TEST Troponin I ,CK-MB, Myoglobin, тести для визначення міоглобіну/KK-MB/тропоніну-І №1 CITO TEST Cardio Combo, тести для визначення вірусу гепатиту В (цільна кров,сироватка,плазма) пороговий рівень – 1нг/м CITO TEST HBsAg, тести для визначення антитіл до вірусу гепатиту С (цільна кров,сироватка,плазма) №1 CITO TEST HCV, тести для визначення антитіл до ВІЛ 1 та 2 типів (цільна кров,сироватка,плазма) №1 CITO TEST HIV 1/2, тести для визначення антигену Хелікобактер Пілорі (фекалії) №1 CITO TEST H.Pylori Ag )</t>
  </si>
  <si>
    <t>Код ДК 021:2015 - 33140000-3 - Медичні матеріали (Канюля інфузійна 22G 0,9х25 мм (НК 024:2019 10678 – Катетер для введення), Системи для внутрішньовенної інфузії  Смарт Сет (НК 024:2019 16649- Основний набір внутрішньовенного введення), Системи ПР, з маталевою голкою (НК 024:2019 16649 Основний набір внутрішньовенного введення), Рукавички оглядові латексні нестерильні неприпудрені, розмір S (НК 024:2019 47172 - Непудровані, оглядові / процедурні рукавички з латексу гевеї, нестерильні), Рукавички оглядові латексні нестерильні неприпудрені, розмір M (НК 024:2019 47172 - Непудровані, оглядові / процедурні рукавички з латексу гевеї, нестерильні), Рукавички оглядові латексні нестерильні неприпудрені, розмір L (НК 024:2019 47172 - Непудровані, оглядові / процедурні рукавички з латексу гевеї, нестерильні), Шприц 2 ml (мл) трьохкомпонентний ін'єкційний одноразового застосування з голкою 0,6х32 mm (мм) (23Gх1 1/4") (НК 024:2019 47017 – Шприц загального призначення, разового застосування), Шприц 5 ml (мл) трьохкомпонентний ін'єкційний одноразового застосування з голкою 0,7х38 mm (мм) (22Gх1 1/2") (НК 024:2019 47017 – Шприц загального призначення, разового застосування), Шприц 10 мл двокомпонентний з 1 голкою") (НК 024:2019 47017 – Шприц загального призначення, разового застосування), Шприц 20мл двокомпонентний з 1 голкою (НК 024:2019 47017 – Шприц загального призначення, разового застосування))</t>
  </si>
  <si>
    <t>Код ДК 021:2015 - 33160000-9 — Устаткування для операційних блоків (Безтіньовий операційний світлодіодний освітлювач (код НК 024:2019: 12282 — Операційний світильник))</t>
  </si>
  <si>
    <t>Код ДК 021:2015 - 33190000-8 - Медичне обладнання та вироби медичного призначення різні (ВАК-апарат (НК 024:2019 - 20395 Система лікування ран негативним тиском з живленням від мережі), дренажні пов'язки для ВАК - апарата – PU IV та одноразові дренажні плівки для перев'язки (комплект) (НК 024:2019 код 47407 Антибактеріальна абсорбувальна пов’язка для системи лікування ран від’ємним тиском))</t>
  </si>
  <si>
    <t>Код ДК 021:2015 - 33190000-8 Медичне обладнання та вироби медичного призначення різні (Стіл операційний (НК 024:2019 - 36867 - Операційний стіл, універсальний, мобільний))</t>
  </si>
  <si>
    <t>Код ДК 021:2015 - 33600000-6 - Фармацевтична продукція (КИСЛОТА АМІНОКАПРОНОВА розчин для інфузій, 50 мг/мл, по 100 мл у пляшках, АНАЛЬГІН розчин для ін'єкцій, 500 мг/мл, по 2 мл №10, ДЕКАСАН розчин 0,2 мг/мл, по 200 мл в пляшках скляних, МАНІТ розчин для інфузій, 150 мг/мл, по 200 мл у пляшках, МЕЛЬДОНІЙ розчин для ін'єкцій, 100 мг/мл, по 5 мл в ампулі; по 5 ампул у контурній чарунковій упаковці; по 2 контурні чарункові упаковки в пачці, НЕБУТАМОЛ розчин для інгаляцій, 1 мг/мл, по 2 мл №40, НЕБУФЛЮЗОН суспензія для інгаляцій, 1,0 мг/мл, по 2 мл у контейнері одноразовому; по 10 контейнерів у пакеті; по 1 пакету в пачці з картону, ПЕНТОКСИФІЛІН розчин для ін’єкцій, 20 мг/мл, по 5 мл в ампулі; по 5 ампул розчину в контурній чарунковій упаковці; по 2 контурні чарункові упаковки в пачці з картону, РЕОПОЛІГЛЮКІН розчин для інфузій, по 200 мл у пляшках, РЕОСОРБІЛАКТ розчин для інфузій, по 200 мл, ТІВОРТІН розчин для інфузій, 42 мг/мл, по 100 мл у пляшці; по 1 пляшці у пачці, НАТРІЮ ХЛОРИД розчин для ін'єкцій, 9 мг/мл, по 5 мл в ампулі; по 5 ампул у контурній чарунковій упаковці; по 1 контурній чарунковій упаковці в пачці, КАЛІЮ ХЛОРИД концентрат для розчину для інфузій, 75 мг/мл, по 20 мл)</t>
  </si>
  <si>
    <t>Код ДК 021:2015 - 33600000-6 Фармацевтична продукція (Натрію хлорид р-н д/інф. 0,9% 100мл, Бліцеф пор. д/інф. 1г №10)</t>
  </si>
  <si>
    <t>Код ДК 021:2015 - 33600000-6 Фармацевтична продукція (розчин Рінгер-лактатний розчин для інфузій по 200мл, розчин Рінгера розчин для інфузій по 200мл, Сангера розчин для ін'єкцій 100мг/мл по 5 мл в ампулі №5)</t>
  </si>
  <si>
    <t>Код ДК 021:2015 - 33600000-6 Фармацевтична продукція(Адреналін - Дарниця р-н д/ін. 1,8 мг/мл амп.1 мл, контурн. чарунк. уп., пачка №10, Аміназин-Здоров'я табл. в/о 25 мг блістер, у коробці №20, Амоксиклав пор. д/р-ну д/ін.1000 мг + 200 мг фл.№5, Амоксиклав 2х табл. 875 мг + 125 мг №14, Натрію аденозинтрифосфат-Дарниця р-н д/ін. 10 мг/мл амп. 1 мл контурн. чарунк. уп., пачка №10, Аритміл р-н д/ін. 50 мг/мл амп. 3 мл, у касеті у пачці №5, Вомікайнд р-н д/ін. 2 мг/мл амп. 2 мл №4, Вомікайнд р-н д/ін. 2 мг/мл амп. 4 мл №4, Тіаміду хлорид-Дарниця(вітамін В1 Дарниця) р-н д/ін. 50 мг/мл амп. 1 мл,контурн. чарунк.уп., пачка №10, Галоперидол-Ріхтер р-н д/ін. 5 мг амп. 1 мл №5, Кордарон р-н д/ін. 50 мг/мл амп. 3 мл №6, Лідокаїн-Дарниця р-н д/ін. 20 мг/мл амп.2 мл, контурн. чарунк. уп., №10, Магнію сульфат-Дарниця р-н д/ін. 250 мг/мл амп. 5 мл,контурн. чарунк. уп. №10, Метрогіл р-н д/інф. 500 мг фл. 100 мл №1, Метоклопраміду гідрохлорид р-н д/ін. 5 мг/мл амп. 2 мл,у касеті у пачці №10, Медаксон пор. д/п ін. р-ну 1г фл. №10, Медаксон пор. д/п ін. р-ну 2г фл. №10, Медоклав пор. д/п р-ну д/ін. та инф. 1000 мг + 200 мг фл.№10, Омез ліофіл. д/п р-ну д/ін. 40 мг фл. №1, Омепразол-Фармак пор. д/р-ну д/інф. 40 мг фл. №1, Преднізолон-Дарниця р-н д/ін. 30 мг/мл амп. 1 мл, контурн. чарунк. уп., пачка №5, Натрію хлориду розчин 0,9% р-н д/інф. 0,9% пляшка 100 мл №1, Цефтриаксон-Дарниця пор. д/р-ну д/ін. 1 г фл. №5)</t>
  </si>
  <si>
    <t>Код ДК 021:2015 - 33600000-6 Фармацевтична продукція(Розчин Рінгер-лактатний розчин для інфузій по 200 мл, Розчин Рінгера розчин для інфузій по 200 мл, САНГЕРА, розчин для ін'єкцій, 100 мг/мл по 5 мл в ампулі №5, Флуконазол розчин для інфузій 2 мг/мл по 100 мл)</t>
  </si>
  <si>
    <t>Код ДК 021:2015 - 33690000-3 - Лікарські засоби різні (Желатин р-н 10% 10,0 амп №10)</t>
  </si>
  <si>
    <t>Код ДК 021:2015 - 33710000-0 Парфуми, засоби гігієни та презервативи(Господарське мило рідке з дозатором 600, Рідке Мило господарське Клас 4л, Рідина для посуду Фреш Лимон 1л, Рідина для посуду 1л Еко, Мило господарське 72% Щедро 200г)</t>
  </si>
  <si>
    <t>Код ДК 021:2015 - 33710000-0 Парфуми, засоби гігієни та презервативи(мило рідке,мило туалетне,рідина для миття )</t>
  </si>
  <si>
    <t>Код ДК 021:2015 - 33760000-5 Туалетний папір, носові хустинки, рушники для рук і серветки(Папір туалетний КАХАВИНКА, Туалетний Папір Кохвинка-Велікан 1 шт, Рушник Зетка 1 шт, Туалетний Папір Кохвинка-Велікан 1 шт, Зетка біла, Папір Каховинка 90*125)</t>
  </si>
  <si>
    <t>Код ДК 021:2015 - 33760000-5 Туалетний папір, носові хустинки, рушники для рук і серветки(туалетний папір,рушники для рук ,серветки)</t>
  </si>
  <si>
    <t xml:space="preserve">Код ДК 021:2015 - 34110000-1 Легкові автомобілі (Легковий автомобіль RENAULT DUSTER або еквівалент) </t>
  </si>
  <si>
    <t>Код ДК 021:2015 - 39220000-0 Кухонне приладдя, товари для дому та господарства і приладдя для закладів громадського харчування(Кий дерево 20 мм Фенікс, Моп пасковий 5, Запаска мікрофібра, Відро звіджимом 12, Серветка Віскозна 10 шт, Серветки Практік 10 шт, Скребок 3 шт Блиск, Губка кухонна 8 шт, Губка 10 для посуду, Скребки Хорека 10 шт, Губка Ніколс Кухонна 10, Скребки 3 шт Іспанія, Набір Дошка + Ніж 1 уп, Таз для фруктів 9л, Відро господ. 14 л 1 шт, Набір для Прибирання 1 уп,Губка Банна масажна, Моп рефіл 44*16,5, Запаска мікрофібра, Губка Аравік банна косична, Моп рефіл 44*16,5,  Щітка для підмітання кінський волос, Таз для фруктів 9 л, Серветка Універсальна 10 шт, Віник з ручкою 3 гатунок, Губка кухонна 8 шт, Губка 10 для посуду, Запаска мікрофібра, Відро НЕРЖАВІЙКА з кришкою 0382, Бак Оницнкований 32 л)</t>
  </si>
  <si>
    <t>Код ДК 021:2015 - 39220000-0 Кухонне приладдя, товари для дому та господарства і приладдя для закладів громадського харчування(щітка,серветка для прибирання,кий,запаска - полотер,губка,кухонна,скребок)</t>
  </si>
  <si>
    <t>Код ДК 021:2015 - 39830000-9 Продукція для чищення(Білизна Онікс 1700л, Білизна Онікс Калуш 950 г, Білизна Калушанка 900 г, Саво для унітазу, Білизна Калушанка 900 г, Сарма Чистячий Гель для Унітазу 750мл)</t>
  </si>
  <si>
    <t>Код ДК 021:2015 - 39830000-9 Продукція для чищення(Порошок Комет 475, Освіжувач 300 ЕДЕМ, Засіб для вікон 500, Порошок Ориджинал/Онікс 10кг, Засіб для вікон 500, Засіб для скла 500, Порошок Гала ручне прання 400гАс, Гала ОV Порошок для Чищення 500, Універсальний чистящий Засіб Мілам 0,5лАс, Домінік для вікон 750, Порошок хорека 5 кг, Рідина для посуду Фреш Лимон 1л, Освіжувач Глейд 300мл Асортимент, Порошок Комет 475, Порошок Гала ручне прання 400гАс, Гала ОV Порошок для Чищення 500)</t>
  </si>
  <si>
    <t>Код ДК 021:2015 - 39830000-9 Продукція для чищення(господарські товари(засіб для чищення,доместос,чистящий порошок,рідина для миття вікон,порошок для прання,гель білизна дезинфікуюча,рідина для миття вікон)</t>
  </si>
  <si>
    <t>Код ДК 021:2015 - 42960000-3 - Системи керування та контролю, друкарське і графічне обладнання та обладнання для автоматизації офісу й обробки інформації (Диспенсер ER-T білий, Диспенсер для рушників z- типу(білий), Диспенсер для рідкого мила з резервуаром, 500мл (білий))</t>
  </si>
  <si>
    <t>Код ДК 021:2015 - 44510000-8 Знаряддя (дюбель з саморізом)</t>
  </si>
  <si>
    <t>Код ДК 021:2015 - 44511340-0 Граблі</t>
  </si>
  <si>
    <t>Код ДК 021:2015 - 80520000-5 Навчальні засоби (80522000-9 Навчальні семінари)</t>
  </si>
  <si>
    <t>Код ДК 021:2015 -33140000-3 - Медичні матеріали (подовжувач Perfusor оригінальна лінія 150 см з голкою, маска д/дор. киснева Medicare №1)</t>
  </si>
  <si>
    <t>Код ДК 021:2015 -33140000-3 - Медичні матеріали (піпетка мед. у пласт. фут. №1, лейкопластир бакт.2,5*7,6, ланцети Gamma №200)</t>
  </si>
  <si>
    <t>Код ДК 021:2015 -33600000-6 Фармацевтична продукція (Рафт р-н д/ін. 4мг 1мл №10, Рафт р-н д/ін. 4мг 1мл №10, Рафт р-н д/ін. 4мг 1мл №10, Омепразол ліоф. д/п інф. р-ну 40 мг №1, Омепразол ліоф. д/п інф. р-ну 40 мг №1, Омепразол ліоф. д/п інф. р-ну 40 мг №1, Дексаметазону фосфат р-н д/ін. 0,4% 1мл №10-t`, Дексаметазону фосфат р-н д/ін. 0,4% 1мл №10-t`)</t>
  </si>
  <si>
    <t>Код ДК 021:2015 -48810000-9 Інформаційні системи (Послуги з надання доступу та використання функціоналу медичної інформаційної системи Askep.net)</t>
  </si>
  <si>
    <t xml:space="preserve">Код ДК 021:2015 15810000-9 Хлібопродукти, свіжовипечені хлібобулочні та кондитерські вироби (Хліб пшеничний з пшеничного борошна вищого ґатунку (різаний), хліб житньо-пшенийчний (різаний))
</t>
  </si>
  <si>
    <t>Код ДК 021:2015 33120000-7 – Системи реєстрації медичної інформації та дослідне обладнання (Авторефкератометр) (код за НК 024:2019:36386 — Рефрактометр офтальмологічний, автоматичний)</t>
  </si>
  <si>
    <t>Код ДК 021:2015 33160000-9 - Устаткування для операційних блоків (Пульсоксиметр (код за НК 024:2019:45607 − Пульсоксиметр, що живиться від батареї), Термометр безконтактний (код за НК 024:2019:17888 − Інфрачервоний шкірний термометр пацієнта),  Столик інструментальний (код за НК 024:2019:13959 − Стіл для хірургічних інструментів), Столик маніпуляційний (код за НК 024:2019:13959 − Стіл для хірургічних інструментів), Дзеркало хірургічне HARTMANN , назальне, 4,0мм (код за НК 024:2019:33431 − Дзеркало ларингеальне), Дзеркало хірургічне HARTMANN-HALLE, назальне, 2,0мм (код за НК 024:2019:33431 − Дзеркало ларингеальне), Дзеркало хірургічне HARTMANN-HALLE, назальне, 3,5мм (код за НК 024:2019:33431 − Дзеркало ларингеальне), Дзеркало хірургічне HARTMANN-HALLE, назальне, 3,0мм (код за НК 024:2019:33431 − Дзеркало ларингеальне), Дзеркало хірургічне, мод. 8,  гортанне, Ø 25см (код за НК 024:2019:33431 − Дзеркало ларингеальне), Дзеркало хірургічне, мод. 6,  гортанне, Ø 22см (код за НК 024:2019:33431 − Дзеркало ларингеальне), Дзеркало хірургічне, назально-гортанне, мод. 1, Ø 12см (код за НК 024:2019:33431 − Дзеркало ларингеальне), Дзеркало хірургічне POLITZER, вушне, нікельоване (код за НК 024:2019:33431 − Дзеркало ларингеальне), Зонд хірургічний, вушний з навивкою, 100мм (код за НК 024:2019:35253 − Зонд для носових пазух), Ніж хірургічний TOBOLD , гортанний (код за НК 024:2019:33680 − ЛОР ніж), Затискач хірургічний DANDY, кровоспинний зігнутий по ребру (код за НК 024:2019:10904 − Затискач для хірургічних інструментів), Затискач хірургічний, кровоспинний MOSQUITO, прямий (код за НК 024:2019:10904 − Затискач для хірургічних інструментів), Затискач хірургічний MOSQUITO-DANDY, кровоспинний зігнутий по ребру, 12,5мм (код за НК 024:2019:10904 − Затискач для хірургічних інструментів), Роторозширювач хірургічний DAVIS-MEYER  з набором хірургічних шпателів (код за НК 024:2019:35085 − Роторозширювач регульований), Ручка скальпеля хірургічна (код за НК 024:2019:44959 − Тримач хірургічного леза), Леза хірургічні (код за НК 024:2019:37445 − Лезо скальпеля одноразового використання), Скальпель хірургічний очний (код за НК 024:2019: 35141 −Скальпель багаторазового застосування), Петля хірургічна, назальна, Ø 0,4мм (код за НК 024:2019:46632 − Петля для видалення поліпів/голка для ін'єкцій), Петля  хірургічна, назальна, Ø 0,3мм (код за НК 024:2019:46632 − Петля для видалення поліпів/голка для ін'єкцій), Дзеркало операційне ZIEGLER ЛОР (код за НК 024:2019:33431 − Дзеркало ларингеальне), Затискач хірургічний DIEFFENBACH, типу «бульдог», 3см (код за НК 024:2019:10904 − Затискач для хірургічних інструментів), Затискач хірургічний  DIEFFENBACH, типу «бульдог», 4см (код за НК 024:2019:10904 − Затискач для хірургічних інструментів), Голкотримач хірургічний STRATTE, вигнутий, армований, 24см (код за НК 024:2019:12726 − Багаторазовий тримач голки), Ретрактор хірургічний SIMS, ректальний, 160мм (код за НК 024:2019:45918 − Середній/глибокий ранорозширювач), Венекстрактор хірургічний NABATOFF (код за НК 024:2019:35377 − Веноекстрактор багаторазового застосування), Пінцет хірургічний DE BAKEY, атравматичний, 20см (код за НК 024:2019:15800 − Препарувальний пінцет), Пінцет хірургічний DE BAKEY, атравматичний, 24см (код за НК 024:2019:15800 − Препарувальний пінцет), Пінцет хірургічний DE BAKEY, атравматичний, вигнутий (код за НК 024:2019:15800 − Препарувальний пінцет), Ножиці хірургічні  DE BAKEY судинні, зігнуті по ребру (код за НК 024:2019:38727 − Хірургічні ножиці загального призначення багаторазового використання), Голкотримач хірургічний, тонкий, армований, 18см (код за НК 024:2019:12726 − Багаторазовий тримач голки), Голкотримач хірургічний DE BAKEY, армований, 18см (код за НК 024:2019:12726 − Багаторазовий тримач голки), Голкотримач хірургічний, армований, 18см (код за НК 024:2019:12726 − Багаторазовий тримач голки), Ніж хірургічний LANGENBECK,  ампутаційний (код за НК 024:2019:33680 − ЛОР ніж), Затискач хірургічний ALLIS (код за НК 024:2019:10904 − Затискач для хірургічних інструментів), Затискач хірургічний,  гемороїдальний, прямий (код за НК 024:2019:10904 − Затискач для хірургічних інструментів), Затискач хірургічний,  для захоплення кишкової стінки (код за НК 024:2019:10904 − Затискач для хірургічних інструментів), Затискач хірургічний, кровоспинний MOSQUITO, прямий (код за НК 024:2019:10904 − Затискач для хірургічних інструментів), Зонд хірургічний, жолобкуватий (код за НК 024:2019:35253 − Зонд для носових пазух), Пінцет хірургічний  ADSON (код за НК 024:2019:15800 − Препарувальний пінцет), Ретрактор хірургічний KOCHER , 4-зубий (код за НК 024:2019:45918 − Середній/глибокий ранорозширювач), Ретрактор хірургічний FARABUF (код за НК 024:2019:45918 − Середній/глибокий ранорозширювач), Ретрактор хірургічний VOLKMANN, 1-зубий , гострий (код за НК 024:2019:45918 − Середній/глибокий ранорозширювач), Голка хірургічна DESCHAMPS лігатурна (код за НК 024:2019:32357 − Голка шовна багаторазового використання), Ножиці хірургічні, тупокінцеві, зігнуті, 230мм (код за НК 024:2019:38727 − Хірургічні ножиці загального призначення багаторазового використання), Ножиці хірургічні, тупокінцеві, зігнуті, 140мм (код за НК 024:2019:38727 − Хірургічні ножиці загального призначення багаторазового використання), Ножиці хірургічні, гострокінцеві, зігнуті, 175мм (код за НК 024:2019:38727 − Хірургічні ножиці загального призначення багаторазового використання), Ножиці хірургічні для глибоких порожнин (код за НК 024:2019:38727 − Хірургічні ножиці загального призначення багаторазового використання), Кюрета хірургічна VOLKMANN кісткова двостороння (код за НК 024:2019:31335 − Кюретка кісткова), Затискач хірургічний, кровоспинний KOCHER, прямий, 195мм (код за НК 024:2019:10904 − Затискач для хірургічних інструментів), Затискач хірургічний, кровоспинний MOSQUITO, зігнутий, 125мм (код за НК 024:2019:10904 − Затискач для хірургічних інструментів), Затискач хірургічний, спонджевий MAIER, вигнутий, 265мм (код за НК 024:2019:10904 − Затискач для хірургічних інструментів), Ретрактор хірургічний SIMS, ректальний, двостулковий, роб. част. 95мм (код за НК 024:2019:45918 − Середній/глибокий ранорозширювач), Ретрактор хірургічний, WEITLANER, самозберігаючий, 165мм (код за НК 024:2019:45918 − Середній/глибокий ранорозширювач), Ручка  скальпеля хірургічна  № 3L, велика (код за НК 024:2019:44959 − Тримач хірургічного леза), Відеоларингоскоп  HYHJ – KC (код за НК 024:2019:62763 − Набір з інтубаційним відеоларингоскопом), Відсмоктувач хірургічний медичний (код за НК 024:2019:17435 − Аспіраційна система для аутопсії))</t>
  </si>
  <si>
    <t>Код ДК 021:2015 33190000-8 - Медичне обладнання та вироби медичного призначення різні (Пробірка пластикова 2ml  (мл), нестерильна., з кришкою, кругле дно (500 шт/паков) (Код НК 024:2019:35413-Загальна лабораторна тара, багаторазово), Пробірка вакуумна Гранум для забору крові без наповнювача; розмір 13х75 мм; об'єм 5.0 мл. пластик (100 шт/паков)(НК 024:2019:47590-Пробірка вакуумна для відбору зразків крові IVD, без добавок), Пробірка вакуумна Гранум для забору крові з активатором згортання; розмір 16х100 мм; об'єм 9.0 мл. пластик (100 шт/паков)( НК 024:2019:42387 - Пробірка вакуумна для взяття зразків крові, з активатором згортання IVD))</t>
  </si>
  <si>
    <t>Код ДК 021:2015 38430000-8 Детектори та аналізатори (Напівавтоматичний мікробіологічний аналізатор для ідентифікації мікроорганізмів та визначення їх антибіотикорезистентності (ІD/AST) (код НК 024:2019: 56747 — Аналізатор бактеріологічний для ідентифікації та визначення антимікробної чутливості ІВД, автоматичний), Турбідіметр (код НК 024:2019: 57870 - Нефелометр мікробіологічний ІВД))</t>
  </si>
  <si>
    <t>Код ДК 021:2015 – 15110000-2 М’ясо (М’ясо свинини, філе куряче, м’ясо свійської птиці свіже, охолоджене (тушки курей))</t>
  </si>
  <si>
    <t>Код ДК 021:2015 – 33110000-4 – Візуалізаційне обладнання для потреб медицини, стоматології та ветеринарної медицини (Томограф комп’ютерний Neuviz 16 Classic Multi-slice CT Scanner (код НК 024:2019 «Класифікатор медичних виробів» - 37618 – Система рентгенівської комп'ютерної томографії всього тіла))</t>
  </si>
  <si>
    <t>Код ДК 021:2015 – 33120000-7 Системи реєстрації медичної інформації та дослідне обладнання (Секторний кардіологічний датчик (код НК 024:2019: 40768 - Датчик системи екстракорпоральної ультразвукової візуалізації, ручний))</t>
  </si>
  <si>
    <t>Код ДК 021:2015- 15820000-2 Сухарі та печиво; пресерви з хлібобулочних і кондитерських виробів (Сухарі Сто Пудів 100 г)</t>
  </si>
  <si>
    <t xml:space="preserve">Код ДК 021:2015- 22810000-1 Паперові чи картонні реєстраційні журнали (Журнал, бланк) 	
</t>
  </si>
  <si>
    <t>Код ДК 021:2015- 24950000-8 Спеціалізована хімічна продукція(Гель провідний ЕКГ 1000г, Гель провідний для УЗД AguaUltra Basic 1000г)</t>
  </si>
  <si>
    <t>Код ДК 021:2015- 33120000-7 - Системи реєстрації медичної інформації та дослідне обладнання(Тест-смужки Contour (Контур) plus №50)</t>
  </si>
  <si>
    <t>Код ДК 021:2015- 33140000-3 - Медичні матеріали (Одноразовий набір для трансфузії крові, модель ВТ-4, з металевою голкою для проколу флакону)</t>
  </si>
  <si>
    <t>Код ДК 021:2015- 33140000-3 - Медичні матеріали(CDNR 042-Однокрильчата голка з гнучкою трубкою та Луер адаптером, Розмір 23G(код НК 024:2019-36257 Катетер венозний центральний, що вводиться периферично))</t>
  </si>
  <si>
    <t>Код ДК 021:2015- 33140000-3 - Медичні матеріали(Бахіли одноразові (код НК 024:2019-61937 Бахіли хірургічні), Бинт марлевий медичний 7*14см н/с(код НК 024:2019-48125 Рулон марлевий, нестерильний), Бинт марлевий медичний 5*10см н/с( код НК 024:2019-48125 Рулон марлевий, нестерильний), Бинт гіпсовий 15х270см( код НК 024:2019-33056 Матеріал для накладення гіпсової пов'язки), Бинт гіпсовий 20х270 см( код НК 024:2019-33056 Матеріал для накладення гіпсової пов'язки), Катетер Венфлон в/в  G22(код НК 024:2019-10678 Катетер для введення), Катетер Венфлон в/в  G24(код НК 024:2019-10678 Катетер для введення), Катетер Венфлон в/в  G20( код НК 024:2019-10678 Катетер для введення), Голкотримач для вакуумних пробірок №100( код НК 024:2019-37839 Голкотримач хірургічний, багаторазового використання), Голка атравматична 0-4(код НК 024:2019-47194 Хірургічна нитка з поліуретану на основі поліефіру), Ємність для забору калу не стерильна( код НК 024:2019-62629 Контейнер для збору калу в терапевтичних цілях, нестерильний), Катетер Фолея 2-х ходов. 16( код НК 024:2019-34926 Катетер сечовідний загального призначення), Катетер Фолея  2-х ходов. 18(код НК 024:2019-34926 Катетер сечовідний загального призначення), Стилет для встановлення ендотрахеальної трубки Fr10(код НК 024:2019-58770 Набір для дренування плевральної порожнини), Стилет для встановлення ендотрахеальної трубки Fr14(код НК 024:2019-58770 Набір для дренування плевральної порожнини), Кетгут стерильний з одн. голка хром. д. 0,75м №4(код НК 024:2019-47194 Хірургічна нитка з поліуретану на основі поліефіру), Кетгут стерильний з одн. голка хром. д. 0,75м №5(код НК 024:2019-47194 Хірургічна нитка з поліуретану на основі поліефіру), Кетгут стерильний з одн. голка хром. д. 0,75м №6(код НК 024:2019-47194 Хірургічна нитка з поліуретану на основі поліефіру), Лезо до скальпеля, стерильне №23( код НК 024:2019-37445 Лезо скальпеля, одноразового використання), Лезо до скальпеля, стерильне №15( код НК 024:2019-37445 Лезо скальпеля, одноразового використання), Пластир медичний, бавовняна основа  2,5х500 см( код НК 024:2019-32207 Лейкопластир для з'єднання країв ран), Пластир медичний, паперова основа  2,5х500см( код НК 024:2019-32207 Лейкопластир для з'єднання країв ран), Підгузники для дорослих XL( код НК 024:2019-11239 Підгузник для дорослих), Пеленка вологопоглинаюча 40*60см №25( код НК 024:2019-11239 Підгузник для дорослих), Пеленка вологопоглинаюча 60*90см №30( код НК 024:2019-11239 Підгузник для дорослих), Рукавиці хірургічні стерильні припудрені р.7( код НК 024:2019-47173 Припудрені, оглядові / процедурні рукавички з латексу гевеї, нестерильні), Рукавиці хірургічні стерильні припудрені р.8( код НК 024:2019-47173 Припудрені, оглядові / процедурні рукавички з латексу гевеї, нестерильні), Сечоприймач з отвором для  зливу стер. 2000мл( код НК 024:2019- 47459 Сечоприймач системи моніторення сечовипускання), Комплект для втановлення підключичного катетера КВ-3 з голкою G15( код НК 024:2019-36244 Набір для внутрішньовенних вливань через інфузійний контролер), Шовк стерильний 2/0  (M3)  дов. 1,5м( код НК 024:2019-47194 Хірургічна нитка з поліуретану на основі поліефіру), Шовк стерильний  1  (M4)  дов. 1,5м( код НК 024:2019-47194 Хірургічна нитка з поліуретану на основі поліефіру), Шовк стерильний  2  (M5)  дов. 1,5м(код НК 024:2019-47194 Хірургічна нитка з поліуретану на основі поліефіру), Шовк стерильний  3  (M6)  дов. 1,5м(код НК 024:2019-47194 Хірургічна нитка з поліуретану на основі поліефіру), Презерватив латексні  для ультразвукового дослідження №100(код НК 024:2019-45138 Чоловічий стандартний презерватив, гевеа-латекс))</t>
  </si>
  <si>
    <t>Код ДК 021:2015- 33140000-3 Медичні матеріали(Грілка гумова тип Б №3 комбінована( код НК 024:2019- 46248 Зігрівальна грілка))</t>
  </si>
  <si>
    <t>Код ДК 021:2015- 33140000-3 Медичні матеріали(Трубка ендотрахеальна з манжетою № 6,0(код НК 024:2019-47691 Трубка ендотрахеальна з аспіраційної манжетою), Трубка ендотрахеальна з манжетою № 6,5(код НК 024:2019-47691 Трубка ендотрахеальна з аспіраційної манжетою), Трубка ендотрахеальна з манжетою № 7,0(код НК 024:2019-47691 Трубка ендотрахеальна з аспіраційної манжетою))</t>
  </si>
  <si>
    <t>Код ДК 021:2015- 33170000-2 - Обладнання для анестезії та реанімації (Трубка ендотрахеальна з манжеткою  №4(код НК 024:2019-47691 Трубка ендотрахеальна з аспіраційної манжетою), Трубка ендотрахеальна з манжеткою  №4,5(код НК 024:2019-47691 Трубка ендотрахеальна з аспіраційної манжетою), Трубка ендотрахеальна з манжеткою  №5(код НК 024:2019-47691 Трубка ендотрахеальна з аспіраційної манжетою), Трубка ендотрахеальна з манжеткою  №5,5(код НК 024:2019-47691 Трубка ендотрахеальна з аспіраційної манжетою), Трубка ендотрахеальна з манжеткою  №6(код НК 024:2019-47691 Трубка ендотрахеальна з аспіраційної манжетою), Трубка ендотрахеальна з манжеткою  №6,5(код НК 024:2019-47691 Трубка ендотрахеальна з аспіраційної манжетою), Трубка ендотрахеальна з манжеткою  №7(код НК 024:2019-47691 Трубка ендотрахеальна з аспіраційної манжетою), Трубка ендотрахеальна з манжеткою  №7,5(код НК 024:2019-47691 Трубка ендотрахеальна з аспіраційної манжетою))</t>
  </si>
  <si>
    <t>Код ДК 021:2015- 33170000-2 - Обладнання для анестезії та реанімації(Трубка ендотрахеальна з манжеткою №4,0(код НК 024:2019-47691 Трубка ендотрахеальна з аспіраційної манжетою), Трубка ендотрахеальна з манжеткою №4,5(код НК 024:2019-47691 Трубка ендотрахеальна з аспіраційної манжетою), Трубка ендотрахеальна з манжеткою №5,0(код НК 024:2019-47691 Трубка ендотрахеальна з аспіраційної манжетою), Трубка ендотрахеальна з манжеткою №5,5(код НК 024:2019-47691 Трубка ендотрахеальна з аспіраційної манжетою), Трубка ендотрахеальна з манжеткою №6,0(код НК 024:2019-47691 Трубка ендотрахеальна з аспіраційної манжетою))</t>
  </si>
  <si>
    <t>Код ДК 021:2015- 33600000-6 - Фармацевтична продукція (Севофлуран р-н д/інгаляцій 100% 250 мл)</t>
  </si>
  <si>
    <t>Код ДК 021:2015- 33600000-6 - Фармацевтична продукція(Калію хлорид концентрат для розчину для інфузій 75 мг/мл по 10 мл, Маніт розчин для інфузій 150 мг/мл по 200 мл, Новокаїн розчин для ін’єкцій 5 мг/мл по 200 мл, Ропілонг, розчин для ін’єкцій 7,5 мг/мл по 10 мл у ампулах скляних №5, Ропілонг, розчин для інфузій 2 мг/мл по 100 мл у флаконах скляних)</t>
  </si>
  <si>
    <t>Код ДК 021:2015- 33600000-6 Фармацевтична продукція (Індіраб пор. ліоф. д/п ін. р-ну 2,5 МО/1 доза 0,5 мл №1- t`)</t>
  </si>
  <si>
    <t>Код ДК 021:2015- 33600000-6 Фармацевтична продукція (Кванадекс, концентрат для розчину для інфузій 100мкг/мл по 2 мл в ампулі №5, Максіцин, концентрат для розчину для інфузій 400 мг/20 мл, по 20 мл у флаконі; по 1 флакону в пачці з картону, Натрію хлорид розчин для інфузій 9 мг/мл по 200 мл, Лаксерс, порошок для розчину для ін'єкцій по1000 мг/мл по 1 флакону з порошком у пачці з картону)</t>
  </si>
  <si>
    <t>Код ДК 021:2015- 33690000-3 - Лікарські засоби різні (Ділюент 3 Діф H3, 20 л, Neo Lyse C (*лізуючий розчин Нео Лайз C 1 L), Neo Detergent C (*миючий розчин Нео Детергент C 20 L), Реагент Bio-Ksel System PT plus 5 x 8 ml / Біо-Ксель плюс протромбіновий час  (ПЧ), GLUCOSE SL (* Глюкоза СР R1: 1x500 мл), Холестерин LS Mono (метод CHOD-PAP) (4x60 мл + 1x3 мл), GAMMA GT (* Гамма-ГТ R1: 1x200 мл R2: 1x50 мл))</t>
  </si>
  <si>
    <t>Код ДК 021:2015- 42130000-9 - Арматура трубопровідна: крани, вентилі, клапани та подібні пристрої (Фільтер водяний косий ½ Преміум)</t>
  </si>
  <si>
    <t>Код ДК 021:2015- 44620000-2 - Радіатори і котли для систем центрального опалення та їх деталі (Радіатор BROQNNER C22 500x1200 (2616Вт), Радіатор BROQNNER C22 500x1000(2180Вт), Радіатор BROQNNER C22 500x2000(4360Вт))</t>
  </si>
  <si>
    <t>Код ДК 021:2015- 45310000-3 Електромонтажні роботи (45316200-7 Встановлення сигналізаційного обладнання (монтаж засобів охоронної сигналізації в приміщенні кімнати прекурсорів за адресою: м. Стебник, вул. Січових Стрільців,2)</t>
  </si>
  <si>
    <t>Код ДК 021:2015- 50420000-5 Послуги з ремонту і технічного обслуговування медичного та хірургічного обладнання (50421200-4 Послуги з ремонту і технічного обслуговування рентгенологічного обладнання (діагностика апарата рентгенівського діагностичного пересувного uDR 370i виробництва компанії UNITED IMAGING (Китай)))</t>
  </si>
  <si>
    <t>Код ДК 021:2015- 71520000-9 Послуги з нагляду за виконанням будівельних робіт(аварійно-відновлювальні роботи (після буревію, що стався 17 лютого 2022р.) частини покрівлі будівлі інфекційного відділення КНП "Стебницька міська лікарня" ДМР за адресою: Львівська обл., м. Стебник, вул. Січових Стрільців, 2 (поточний ремонт))</t>
  </si>
  <si>
    <t>Код ДК 021:2015- 71520000-9 Послуги з нагляду за виконанням будівельних робіт(технічний нагляд за виконанням будівельних робіт на об'єкті: "Капітальний ремонт приміщень операційного блоку №1 та ординаторської в КНП "Стебницька міська лікарня" ДМР за адресою: Львівська обл., м. Стебник, вул. Січових Стрільців, 2")</t>
  </si>
  <si>
    <t>Код ДК 021:2015- 71520000-9 Послуги з нагляду за виконанням будівельних робіт(технічний нагляд за виконанням будівельних робіт по об'єкту: "Капітальний ремонт по об'єкту: Облаштування заїзду та площадки деконтамінації спеціального транспорту до санітарно-пропускного пункту №2 в КНП "Стебницька міська лікарня" ДМР за адресою: м. Стебник, вул. Січовиї Стрільців,2)</t>
  </si>
  <si>
    <t>Код ДК 021:2015- 71520000-9 Послуги з нагляду за виконанням будівельних робіт(технічний нагляд за виконанням будівельно-монтажних робіт на об'єкті: "Капітальний ремонт кабінету ЛОР ендоскопії у КНП "Стебницька міська лікарня" ДМР за адресою: Львівська обл., м. Стебник, вул. Січових Стрільців, 2")</t>
  </si>
  <si>
    <t>Код ДК 021:2015- 80510000-2 Послуги з професійної підготовки спеціалістів (начання на курсі спеціалізації "Анестезіології та інтенсивної терапії")</t>
  </si>
  <si>
    <t>Код ДК 021:2015- ДК 021:2015 33190000-8 - Медичне обладнання та вироби медичного призначення різні (Вакуумна пробірка, 4 мл, Без наповнювача, Червона, 13х75 мм ПЕТ (код НК 024:2019- 47590 Пробірка вакуумна для відбору зразків крові IVD, без добавок))</t>
  </si>
  <si>
    <t>Код ДК 021:2015-03140000-4 Продукція тваринництва та супутня продукція (03142500-3- Яйця (яйце куряче категорії с-1))</t>
  </si>
  <si>
    <t>Код ДК 021:2015-03200000-3 Зернові культури, картопля, овочі, фрукти та горіхи(03210000-6 - Зернові культури та картопля(Картопля молода)</t>
  </si>
  <si>
    <t>Код ДК 021:2015-03220000-9 Овочі, фрукти та горіхи (03221111-7 Буряк)</t>
  </si>
  <si>
    <t>Код ДК 021:2015-03220000-9 Овочі, фрукти та горіхи (03221220-4 - Горох жовтий 1 кг)</t>
  </si>
  <si>
    <t>Код ДК 021:2015-03220000-9 Овочі, фрукти та горіхи (Капуста білокачанна ВАГ)</t>
  </si>
  <si>
    <t>Код ДК 021:2015-03220000-9 Овочі, фрукти та горіхи (буряк, морква, цибуля, капуста)</t>
  </si>
  <si>
    <t>Код ДК 021:2015-03450000-9 Розсадницька продукція(Ялівець лускатий TROPICAL, Туя західна Janet Gold form)</t>
  </si>
  <si>
    <t>Код ДК 021:2015-09120000-6 Газове паливо (природний газ)</t>
  </si>
  <si>
    <t xml:space="preserve">Код ДК 021:2015-09130000-9 Нафта і дистиляти (Бензин А-95, Дизельне паливо)
</t>
  </si>
  <si>
    <t>Код ДК 021:2015-09130000-9 Нафта і дистиляти (бензин А-95)</t>
  </si>
  <si>
    <t>Код ДК 021:2015-09130000-9 Нафта і дистиляти (бензин А-95, дизельне паливо)</t>
  </si>
  <si>
    <t>Код ДК 021:2015-09130000-9 Нафта і дистиляти(Бензин А-95, Дизельне паливо)</t>
  </si>
  <si>
    <t>Код ДК 021:2015-09210000-4 Мастильні засоби(Масло STIHL 1л)</t>
  </si>
  <si>
    <t>Код ДК 021:2015-09210000-4 Мастильні засоби(Мастило "Рідкий ключ", Рідке скло 1,2л)</t>
  </si>
  <si>
    <t>Код ДК 021:2015-09210000-4 Мастильні засоби(Мастило 2-х тактне)</t>
  </si>
  <si>
    <t>Код ДК 021:2015-09310000-5 Електрична енергія</t>
  </si>
  <si>
    <t xml:space="preserve">Код ДК 021:2015-09310000-5 Електрична енергія </t>
  </si>
  <si>
    <t>Код ДК 021:2015-09310000-5 – Електрична енергія(Електрична енергія з постачанням та передачею)</t>
  </si>
  <si>
    <t>Код ДК 021:2015-09320000-8 Пара, гаряча вода та пов’язана продукція</t>
  </si>
  <si>
    <t>Код ДК 021:2015-14210000-6 Гравій, пісок, щебінь і наповнювачі (щебінь гранітний фракції 40-70мм)</t>
  </si>
  <si>
    <t>Код ДК 021:2015-14410000-8 Кам’яна сіль(Сіль Дрогобицька 750гр)</t>
  </si>
  <si>
    <t>Код ДК 021:2015-14810000-2 Абразивні вироби (14811300-2 Точильні круги (круг по металу d 125))</t>
  </si>
  <si>
    <t>Код ДК 021:2015-14810000-2 Абразивні вироби(14811300-2 - Круги обрізні(Круг обрізний по металу 125))</t>
  </si>
  <si>
    <t>Код ДК 021:2015-14810000-2 Абразивні вироби(14811300-2 Точильні круги (круг обрізний по металу))</t>
  </si>
  <si>
    <t>Код ДК 021:2015-14810000-2 Абразивні вироби(Диск алмазний Turbo 125 MTX Pro)</t>
  </si>
  <si>
    <t>Код ДК 021:2015-14810000-2 Абразивні вироби(Круг обрізний по металу 230)</t>
  </si>
  <si>
    <t>Код ДК 021:2015-14810000-2 Абразивні вироби(Круг обрізний по металу)</t>
  </si>
  <si>
    <t>Код ДК 021:2015-14810000-2 Абразивні вироби(Круг по метал. та нерж. 125х1,2х22,2 Baltik, Диск відрізний по метал.Ninja"Virok" 125х22,23х1,0мм, Диск відрізний по метал.Ninja"Virok" 125х22,23х1,2мм)</t>
  </si>
  <si>
    <t>Код ДК 021:2015-14830000-8 Скловолокно(Сітка скловолокниста)</t>
  </si>
  <si>
    <t>Код ДК 021:2015-15110000-2 М’ясо (м'ясо свинини, філе куряче, тушки курей)</t>
  </si>
  <si>
    <t>Код ДК 021:2015-15130000-8 М’ясопродукти (фарш яловичий)</t>
  </si>
  <si>
    <t>Код ДК 021:2015-15130000-8 М’ясопродукти(Фарш яловичий)</t>
  </si>
  <si>
    <t>Код ДК 021:2015-15220000-6 Риба, рибне філе та інше м’ясо риби морожені (тушка хека ваг.)</t>
  </si>
  <si>
    <t>Код ДК 021:2015-15240000-2 Рибні консерви та інші рибні страви і пресерви (консерви  Сардина, кілька в томаті кілька з квасолею, риба рублена)</t>
  </si>
  <si>
    <t>Код ДК 021:2015-15310000-4  Картопля та картопляні вироби (картопля )</t>
  </si>
  <si>
    <t>Код ДК 021:2015-15310000-4 Картопля та картопляні вироби (картопля)</t>
  </si>
  <si>
    <t>Код ДК 021:2015-15330000-0 - Оброблені фрукти та овочі(Горох колотий)</t>
  </si>
  <si>
    <t>Код ДК 021:2015-15330000-0 Оброблені фрукти та овочі (квасоля, повидло, горошок консервований, кукурудза консервована)</t>
  </si>
  <si>
    <t>Код ДК 021:2015-15330000-0 Оброблені фрукти та овочі(Томатна паста Рідний Край 25% 500г)</t>
  </si>
  <si>
    <t>Код ДК 021:2015-15410000-5 Сирі олії та тваринні і рослинні жири(Олія рафінована Майола 5л)</t>
  </si>
  <si>
    <t>Код ДК 021:2015-15510000-6 Молоко та вершки (молоко Галичина 2,5%, 0,9л )</t>
  </si>
  <si>
    <t>Код ДК 021:2015-15510000-6 Молоко та вершки (молоко Галичина 2,5%, 0,9л)</t>
  </si>
  <si>
    <t>Код ДК 021:2015-15510000-6 Молоко та вершки (молоко пастеризоване 2,5% жирності)</t>
  </si>
  <si>
    <t>Код ДК 021:2015-15530000-2 Вершкове масло (Масло вершкове вагове (жирність не нижче 72,5%, 800кг))</t>
  </si>
  <si>
    <t>Код ДК 021:2015-15530000-2 Вершкове масло (масло Богодухів ГОСТ ВАГ)</t>
  </si>
  <si>
    <t>Код ДК 021:2015-15540000-5 Сирні продукти(Сир твердий Карпатський ваг)</t>
  </si>
  <si>
    <t>Код ДК 021:2015-15610000-7 Продукція борошномельно-круп'яної промисловості (15614000-5 Рис оброблений)</t>
  </si>
  <si>
    <t>Код ДК 021:2015-15810000-9 Хлібопродукти, свіжовипечені хлібобулочні та кондитерські вироби (хліб пшеничний різаний (0,6), хліб столовий різаний (0,6))</t>
  </si>
  <si>
    <t>Код ДК 021:2015-15810000-9 Хлібопродукти, свіжовипечені хлібобулочні та кондитерські вироби(Хліб домашній "Галицький різаний", 0,600 кг, Хліб житньо-пшеничний "Галицький" різаний 0,600 кг)</t>
  </si>
  <si>
    <t>Код ДК 021:2015-15820000-2 Сухарі та печиво; пресерви з хлібобулочних і кондитерських виробів (крекер, печиво Марія)</t>
  </si>
  <si>
    <t>Код ДК 021:2015-15820000-2 Сухарі та печиво; пресерви з хлібобулочних і кондитерських виробів(Печево Марка Марія ваг, Печево Наполеон ваг)</t>
  </si>
  <si>
    <t>Код ДК 021:2015-15820000-2 Сухарі та печиво; пресерви з хлібобулочних і кондитерських виробів(Сухарі Сто Пудів 100г)</t>
  </si>
  <si>
    <t>Код ДК 021:2015-15830000-5 Цукор і супутня продукція (158312004-цукор білий, буряковий)</t>
  </si>
  <si>
    <t>Код ДК 021:2015-15830000-5 Цукор і супутня продукція(Цукор 50 кг)</t>
  </si>
  <si>
    <t>Код ДК 021:2015-15830000-5 Цукор і супутня продукція(Цукор ваговий 50 кг)</t>
  </si>
  <si>
    <t>Код ДК 021:2015-15850000-1 Макаронні вироби (Вермішель швидкого приготування, Мівіна Азіатська 59,2)</t>
  </si>
  <si>
    <t>Код ДК 021:2015-15850000-1 Макаронні вироби(Локшина швидкого приготування)</t>
  </si>
  <si>
    <t>Код ДК 021:2015-15850000-1 Макаронні вироби(Макарони КС 1кг)</t>
  </si>
  <si>
    <t>Код ДК 021:2015-15850000-1 Макаронні вироби(Макарони вагові Вінниця)</t>
  </si>
  <si>
    <t>Код ДК 021:2015-15860000-4 Кава, чай та супутня продукція (Чай Ріоба Асортимент)</t>
  </si>
  <si>
    <t>Код ДК 021:2015-15860000-4 Кава, чай та супутня продукція( Чай Ріоба 250 Асортимент)</t>
  </si>
  <si>
    <t>Код ДК 021:2015-15870000-7 Заправки та приправи (Томатна паста Мак Май 480)</t>
  </si>
  <si>
    <t>Код ДК 021:2015-15870000-7 Заправки та приправи(Сіль Кам'яна Кухонна 1 кг)</t>
  </si>
  <si>
    <t>Код ДК 021:2015-16160000-4 Садова техніка різна(Оприскувач усилений)</t>
  </si>
  <si>
    <t>Код ДК 021:2015-16810000-6 Частини для сільськогосподарської техніки(Гайка редуктора для коси(ліва різьба), Флянець редуктора кост(набір))</t>
  </si>
  <si>
    <t>Код ДК 021:2015-16810000-6 Частини для сільськогосподарської техніки(Лєска до косарки 3,0мм з сирдечником, Напильник до ланца 4,8, Шланг до бачка компл, з фільтром (мотокоси))</t>
  </si>
  <si>
    <t>Код ДК 021:2015-18140000-2 Аксесуари до робочого одягу (18141000-9 Робочі рукавиці)</t>
  </si>
  <si>
    <t>Код ДК 021:2015-18140000-2 Аксесуари до робочого одягу(Рукавиці робочі)</t>
  </si>
  <si>
    <t>Код ДК 021:2015-19270000-9 Неткані матеріали(Плівка дринажна Геотекстиль)</t>
  </si>
  <si>
    <t>Код ДК 021:2015-19430000-9 Пряжа та текстильні нитки з натуральних волокон(Пакля по штучно 16,25 гр 1 шт)</t>
  </si>
  <si>
    <t>Код ДК 021:2015-19520000-7 Пластмасові вироби (брелок пластиковий для ключів)</t>
  </si>
  <si>
    <t>Код ДК 021:2015-19520000-7 Пластмасові вироби (табличка на ПВХ)</t>
  </si>
  <si>
    <t>Код ДК 021:2015-19520000-7 Пластмасові вироби (табличка на екобонді)</t>
  </si>
  <si>
    <t>Код ДК 021:2015-19520000-7 Пластмасові вироби(Табличка на ПВХ)</t>
  </si>
  <si>
    <t>Код ДК 021:2015-19640000-4 Поліетиленові мішки та пакети для сміття (Біобок,25)</t>
  </si>
  <si>
    <t>Код ДК 021:2015-22200000-2 Газети, періодичні спеціалізовані та інші періодичні видання і журнали(Журнал Довідник головної медичної сестри 12 міс. з 01.01.2023р., Журнал Кадровик-01 12 міс. з 01.01.2023р., Журнал Управління закладом охорони здоров'я 12 міс. з 01.01.2023р.)</t>
  </si>
  <si>
    <t>Код ДК 021:2015-22210000-5 Газети ( Журнали,бланки )</t>
  </si>
  <si>
    <t>Код ДК 021:2015-22210000-5 Газети (22213000-6 - Журнали)</t>
  </si>
  <si>
    <t>Код ДК 021:2015-22450000-9 Друкована продукція з елементами захисту (бланки суворої звітності)</t>
  </si>
  <si>
    <t>Код ДК 021:2015-22450000-9 Друкована продукція з елементами захисту (бланки суворої звітності: форми 140/о, медичні довідки щодо придаткості  до керування транспортними засобами, форми 127/о, форми 122-2/о, форма №1-ОМК)</t>
  </si>
  <si>
    <t>Код ДК 021:2015-22450000-9 Друкована продукція з елементами захисту (рецептурні бланки Ф-3 серія ЛД(№669001-669200))</t>
  </si>
  <si>
    <t>Код ДК 021:2015-22450000-9 Друкована продукція з елементами захисту (рецептурні бланки Ф-3 серія ЛД(№669201-669400))</t>
  </si>
  <si>
    <t>Код ДК 021:2015-22450000-9 Друкована продукція з елементами захисту (рецептурні бланки Ф-3 серія Яш (№101731-101740))</t>
  </si>
  <si>
    <t>Код ДК 021:2015-22460000-2 Рекламні матеріали, каталоги товарів та посібники (банер 2*3, каркас з нікеливих труб 2*3м)</t>
  </si>
  <si>
    <t xml:space="preserve">Код ДК 021:2015-22810000-1 Паперові чи картонні реєстраційні журнали </t>
  </si>
  <si>
    <t>Код ДК 021:2015-22810000-1 Паперові чи картонні реєстраційні журнали  (реєстраційні журнали, бланки)</t>
  </si>
  <si>
    <t>Код ДК 021:2015-22810000-1 Паперові чи картонні реєстраційні журнали (журнал обліку проведення генеральних прибирань, журнал обліку фактично отриманих і використаних лікарських засобів, журнал реєстрації ендоскопічних досліджень)</t>
  </si>
  <si>
    <t>Код ДК 021:2015-22810000-1 Паперові чи картонні реєстраційні журнали (журнал оперативного контролю)</t>
  </si>
  <si>
    <t>Код ДК 021:2015-22810000-1 Паперові чи картонні реєстраційні журнали (журнал офсет1+1 100ст тверда обкладинка)</t>
  </si>
  <si>
    <t>Код ДК 021:2015-22810000-1 Паперові чи картонні реєстраційні журнали (журнал ультразвукових досліджень)</t>
  </si>
  <si>
    <t>Код ДК 021:2015-22810000-1 Паперові чи картонні реєстраційні журнали(Журнал запису ренгенологічних досліджень, Журнал обліку прийому хворих, Бланк А5 формат 063, Бланк А5 інформована згода, Журнал дезкамерної обробки, Журнал контролю роботи стерилізаторів, Бланк А4 лікарське свідоцтво про смерть, Бланк А4 довідка про призначення і виплати державної допомоги, Бланк А4 довідка про тимчасову непрацездатність, Бланк довідка формат 095, Журнал в клітинку 192 арк, Журнал в клітинку 80 арк)</t>
  </si>
  <si>
    <t>Код ДК 021:2015-22810000-1 Паперові чи картонні реєстраційні журнали(Журнал операцій офсет, Журнал обліку відділеннями отриманих і викор офсет, Бланк А4 передтрансфузійний  епікриз офсет, Бланк А4 листок призначень препаратів газет, Бланк А4 передопераційний огляд газет, Бланк А4 листок реєстрації переливання транф офсет, Бланк А3 листок реєстрації переливання транф офсет)</t>
  </si>
  <si>
    <t>Код ДК 021:2015-22820000-4 Бланки (бланк А4)</t>
  </si>
  <si>
    <t>Код ДК 021:2015-22820000-4 Бланки (бланки А4 УЗД)</t>
  </si>
  <si>
    <t>Код ДК 021:2015-22820000-4 Бланки (бланки А4,А3,А5)</t>
  </si>
  <si>
    <t>Код ДК 021:2015-22820000-4 Бланки(А3 інформована згода офсет, А3 усвід згод особ на госп до психзак_оф, А3 усвід згод особ на лікув у психізакл_оф, А3 подорожнійй лист служб лег авто_офсет)</t>
  </si>
  <si>
    <t>Код ДК 021:2015-22990000-6 Газетний папір, папір ручного виготовлення та інший некрейдований папір або картон для графічних цілей (Стрічка діаграмна ЕКГ 110*25)</t>
  </si>
  <si>
    <t>Код ДК 021:2015-22990000-6 Газетний папір, папір ручного виготовлення та інший некрейдований папір або картон для графічних цілей (стрічка діаграмна 110*20 (12)зовн. біла №10)</t>
  </si>
  <si>
    <t>Код ДК 021:2015-22990000-6 Газетний папір, папір ручного виготовлення та інший некрейдований папір або картон для графічних цілей(Стрічка діаграмна ЕКГ 110х25)</t>
  </si>
  <si>
    <t>Код ДК 021:2015-24110000-8 Промислові гази (кисень медичний газоподібний в балонах)</t>
  </si>
  <si>
    <t>Код ДК 021:2015-24110000-8 Промислові гази (кисень медичний газоподібний)</t>
  </si>
  <si>
    <t>Код ДК 021:2015-24200000-6 Барвники та пігменти (барвник "Дюфа")</t>
  </si>
  <si>
    <t>Код ДК 021:2015-24210000-9 Оксиди, пероксиди та гідроксиди(Абсорбент Ventisorb кан.4,5кг від білого до фіол)</t>
  </si>
  <si>
    <t>Код ДК 021:2015-24320000-3 Основні органічні хімічні речовини (Спирт етиловий 96% р-н д/зовн. застос. 100 мл №1, Спирт етиловий 70% р-н д/зовн. застос. 100 мл №1)</t>
  </si>
  <si>
    <t>Код ДК 021:2015-24320000-3 Основні органічні хімічні речовини (Спирт етиловий р-н 96% 100 мл, спирт етиловий р-н 70% 100 мл )</t>
  </si>
  <si>
    <t>Код ДК 021:2015-24320000-3 Основні органічні хімічні речовини (Спиртол р-н 96% 100 мл, Спирт етиловий р-н 70% 100 мл, Септил р-н 70% 100 мл )</t>
  </si>
  <si>
    <t>Код ДК 021:2015-24320000-3 Основні органічні хімічні речовини (спирт етиловий р-н 96% 100 мл, спирт етиловий р-н 70% 100 мл )</t>
  </si>
  <si>
    <t>Код ДК 021:2015-24450000-3 Агрохімічна продукція (24455000-8 - Дезинфекційні засоби (Вінасепт 5л, Септософт, 5л, серветки АХД 2000 експрес з клапаном №100, Бланідас 300, табл., Бланідас Актив саше, 10мл)</t>
  </si>
  <si>
    <t>Код ДК 021:2015-24450000-3 Агрохімічна продукція (24455000-8 Дезинфекційні засоби (Бодедекс форте, 2л, Корзолекс екстра (BODE),2л))</t>
  </si>
  <si>
    <t>Код ДК 021:2015-24450000-3 Агрохімічна продукція (Засіб дезінфікуючий "Віпасепт (Vipasept)", 5000мл, Серветки Манорапід преміум клінік у м’якій упаковці з клапаном, 100 шт)</t>
  </si>
  <si>
    <t>Код ДК 021:2015-24450000-3 Агрохімічна продукція(Засіб дезінфікуючий "Бланідас 300 (Blanidas 300)"гранули, 1 кг, Засіб дезінфікуючий "Бланідас 300 (Blanidas 300)"таблетки, 300 шт)</t>
  </si>
  <si>
    <t>Код ДК 021:2015-24590000-6 Силікони у первинній формі(Силікон санітарний прозорий Knaufmann 320гр)</t>
  </si>
  <si>
    <t>Код ДК 021:2015-24910000-6 Клеї(Клей універсальний 1,2 кг, Клей "Мастер")</t>
  </si>
  <si>
    <t>Код ДК 021:2015-24950000-8 Спеціалізована хімічна продукція (гель ЕКГ 1л)</t>
  </si>
  <si>
    <t>Код ДК 021:2015-24950000-8 Спеціалізована хімічна продукція (піна професійна 850 мм)</t>
  </si>
  <si>
    <t>Код ДК 021:2015-24950000-8 Спеціалізована хімічна продукція(Гель для УЗД 1л, Гель для ЕКГ 1л)</t>
  </si>
  <si>
    <t>Код ДК 021:2015-24950000-8 Спеціалізована хімічна продукція(Піна монтажна 800 мл)</t>
  </si>
  <si>
    <t>Код ДК 021:2015-30120000-6 Фотокопіювальне та поліграфічне обладнання для офсетного друку (картриджі для принтеру)</t>
  </si>
  <si>
    <t>Код ДК 021:2015-30190000-7 Офісне устаткування та приладдя різне (Папір А4 Economy: Щільність г/м²-80 г/м²; формат-А4; тип-біла; кількість аркушів-500; клас-С; СІЕ білизни-146%; країна виробник товару-Австрія )</t>
  </si>
  <si>
    <t>Код ДК 021:2015-30190000-7 Офісне устаткування та приладдя різне (папір для СС 3003)</t>
  </si>
  <si>
    <t>Код ДК 021:2015-30190000-7 Офісне устаткування та приладдя різне(Скоч прозорий 48ммх300м)</t>
  </si>
  <si>
    <t>Код ДК 021:2015-30210000-4 Машини для обробки даних (апаратна частина) (моноблок Lenovo ideacentre АІО 3і27ITK6 27)</t>
  </si>
  <si>
    <t>Код ДК 021:2015-30230000-0 Комп’ютерне обладнання (Багатофункціональний пристрій Canon i-SENSYS MF237w+2 картриджа)</t>
  </si>
  <si>
    <t>Код ДК 021:2015-30230000-0 Комп’ютерне обладнання (Багатофункціональний пристрій А4 Canon i-SENSYS MF3010+2шт картридж Canon 725, багатофункціональний пристрій А4 Epson L3151+комплект кольорових чорнил Epson 103 )</t>
  </si>
  <si>
    <t>Код ДК 021:2015-30230000-0 Комп’ютерне обладнання(Об'єм 2 ТВ Швидкість обертання шпинделя 5400 об/хв Розмір буферу 256 МВ Інтерфейс SATA III Форм-фактор 3,5 Швидкість передачі даних 180 МБ/с Лінійка(Серія) WD RED Рівень шуму 26дБ Виробник WD Китай)</t>
  </si>
  <si>
    <t>Код ДК 021:2015-31210000-1 Електрична апаратура для комутування та захисту електричних кіл(Автомат 3 полюсний 40А Schneider, Вимик.авт.АСКО 1р/16А типС)</t>
  </si>
  <si>
    <t>Код ДК 021:2015-31220000-4 Елементи електричних схем (розетка із заземленням)</t>
  </si>
  <si>
    <t>Код ДК 021:2015-31220000-4 Елементи електричних схем(Ел. провід 2*1,5 15м, Вилка електр.)</t>
  </si>
  <si>
    <t>Код ДК 021:2015-31220000-4 Елементи електричних схем(Кабельний канал 20*10 м/п, Кабельний канал 25*25 м/п, Кабельний канал 40*25 м/п, Кабельний канал 40*40 м/п, Коробка розподільча зовнішння 70х70, Розетка 2 гнізда 3/3, Розетка 3/3 16А кераміка)</t>
  </si>
  <si>
    <t>Код ДК 021:2015-31220000-4 Елементи електричних схем(Розетка зв.1-а з/з, Розетка зв.1, Розетка зв.2-а з/з, Вилка пряма з/з СВ-У(50шт/уп), Гофра(не горюча)-Д16 нг,сіра(100м,рул) 1м/п, Шина Lemanso нульова №15-отв.LMA019)</t>
  </si>
  <si>
    <t>Код ДК 021:2015-31220000-4 Елементи електричних схем(Розетка зовн. 2 гнізда, Вимикач зовн., Коробка розподільча, Розетка 2 гн. з заземленням)</t>
  </si>
  <si>
    <t>Код ДК 021:2015-31310000-2 Мережеві кабелі (кабель Dialan КПВ 4*2*0,50 (UTR-cat.5E) CU для внутрішніх робіт)</t>
  </si>
  <si>
    <t>Код ДК 021:2015-31310000-2 Мережеві кабелі(Мережевий кабель)</t>
  </si>
  <si>
    <t>Код ДК 021:2015-31410000-3 Гальванічні елементи(Батарейка R14 trey X2 G3 Наша Сила (в уп.24шт.))</t>
  </si>
  <si>
    <t>Код ДК 021:2015-31410000-3 Гальванічні елементи(Батарейки "Videx" R14 сольова)</t>
  </si>
  <si>
    <t>Код ДК 021:2015-31430000-9 Електричні акумулятори (батарейка CR2016, батарейка CR2025)</t>
  </si>
  <si>
    <t>Код ДК 021:2015-31430000-9 Електричні акумулятори (батарейки)</t>
  </si>
  <si>
    <t>Код ДК 021:2015-31430000-9 Електричні акумулятори(Акумулятор 6СТ-100 ТОР CAR Premium Аз (0))</t>
  </si>
  <si>
    <t>Код ДК 021:2015-31430000-9 Електричні акумулятори(Акумулятор 6СТ-60 ТОР CAR Аз (1))</t>
  </si>
  <si>
    <t>Код ДК 021:2015-31430000-9 Електричні акумулятори(Батарейка CR2025)</t>
  </si>
  <si>
    <t>Код ДК 021:2015-31510000-4 Електричні лампи розжарення (Лампи LED 8 W, Лампи LED 10 W, Лампи  75 Вт, Лампи 100 Вт  )</t>
  </si>
  <si>
    <t>Код ДК 021:2015-31510000-4 Електричні лампи розжарення (лампи LED 6W, лампи 100Вт)</t>
  </si>
  <si>
    <t>Код ДК 021:2015-31510000-4 Електричні лампи розжарення (лампи LED)</t>
  </si>
  <si>
    <t>Код ДК 021:2015-31510000-4 Електричні лампи розжарення(31515000-9 Лампи ультрафіолетового світла (лампа бактерицидна TUV-30W))</t>
  </si>
  <si>
    <t>Код ДК 021:2015-31510000-4 Електричні лампи розжарення(LED лампа LEBRON L-A60,8W,E27,4100K, 720Lm 11-11-14, LED лампа LEBRON L-C37,6W,220V,E27,4100K, 720Lm 11-13-50)</t>
  </si>
  <si>
    <t>Код ДК 021:2015-31510000-4 Електричні лампи розжарення(Лампа Lebron led L-Lpu-36W)</t>
  </si>
  <si>
    <t>Код ДК 021:2015-31510000-4 Електричні лампи розжарення(Лампа денного світла)</t>
  </si>
  <si>
    <t>Код ДК 021:2015-31510000-4 Електричні лампи розжарення(Лампи 60Вт, Лампи LED 6w)</t>
  </si>
  <si>
    <t>Код ДК 021:2015-31510000-4 Електричні лампи розжарення(Лампи LED 6 W, Лампи LED 10 W, Лампи 75 Вт)</t>
  </si>
  <si>
    <t>Код ДК 021:2015-31510000-4 Електричні лампи розжарення(Лампи LED 6 W, Лампи LED 8 W)</t>
  </si>
  <si>
    <t>Код ДК 021:2015-31520000-7 Світильники та освітлювальна арматура (прожектор LED LEBRON LF 300W. 600W)</t>
  </si>
  <si>
    <t>Код ДК 021:2015-31520000-7 Світильники та освітлювальна арматура (світильник 202В)</t>
  </si>
  <si>
    <t>Код ДК 021:2015-31520000-7 Світильники та освітлювальна арматура(Ліхтарик Акум, на голову 1898)</t>
  </si>
  <si>
    <t>Код ДК 021:2015-31650000-7 Ізоляційне приладдя(Ізолента 21м.Асорті)</t>
  </si>
  <si>
    <t>Код ДК 021:2015-31650000-7 Ізоляційне приладдя(Анаератор ущільнювач SmartFlex для металевих різьбових зєднань 50 мл, Ізолента yongie)</t>
  </si>
  <si>
    <t>Код ДК 021:2015-31710000-6 Електронне обладнання(Електроди "Моноліт")</t>
  </si>
  <si>
    <t>Код ДК 021:2015-32420000-3 Мережеве обладнання (POE коммутатор 4-портовий HongRui HR900-AF-42N. POE коммутатор 8-портовий HongRui HR900-AF-22N. PoE блок 48а TP-Link TL-PoE150S, SFP модуль FOXGATE SFP-1SM-1310 nm-3SC, SFP модуль FOXGATE SFP-1SM-1550 nm-3SC, медіаперетворювач HongRui HR900WS-GE)</t>
  </si>
  <si>
    <t>Код ДК 021:2015-32420000-3 Мережеве обладнання (комутатор D-Link DGS-3000-52L)</t>
  </si>
  <si>
    <t>Код ДК 021:2015-32580000-2 Інформаційне обладнання (засіб КЗІ "Secure Token-337M" (експертний висновок ДССЗЗІ України №04/03/02-2332 від 30.06.2017р) з ліцензією на програмний продукт "Надійний засіб УЦП ""CryptoLibV2)</t>
  </si>
  <si>
    <t>Код ДК 021:2015-33120000-7 - Системи реєстрації медичної інформації та дослідне обладнання (Офтальмоскоп KAWE EUROLIGHT E15 (код НК 024:2019-12817- Прямий офтальмоскоп))</t>
  </si>
  <si>
    <t>Код ДК 021:2015-33120000-7 - Системи реєстрації медичної інформації та дослідне обладнання (Тест Вондфо для визначення Тропоніна І W46-C4P, Тест комбінований на наркотики, Тест-система ВІЛ 1/2 W006-C, Тест для виявлення гепатиту В W003-C, Тест-система Гепатит С W005-C)</t>
  </si>
  <si>
    <t>Код ДК 021:2015-33120000-7 - Системи реєстрації медичної інформації та дослідне обладнання (Тест д/визн. Тропоніну І, КК-МВ, міоглобіну №1 CITO TEST Troponin I, CK-MB, Myoglobin, Тест д/визн. Вірусу гепатиту В(цільна кров,сироватка,плазма) пороговий рівень-1нг/м CITO TEST HBsAq, Тест д/визн. Антитіл до вірусу гепатиту С(цільна кров,сироватка,плазма) №1 CITO TEST HCV)</t>
  </si>
  <si>
    <t>Код ДК 021:2015-33120000-7 - Системи реєстрації медичної інформації та дослідне обладнання (Тест-смужки Contour (Контур) Plus №50, Тест д/визн. Вірусу гепатиту В(цільна кров, сироватка, плазма)пороговий рівень-1нг/м СІТО TEST HBsAg, Тест д/визн. Тропоніну І, КК-МВ, міоглобіну №1 CITO TEST Troponin I. CK-MB, Myoglobin, Тест д/визн. Антитіл до вірусу гепатиту С(цільна кров, сироватка, плазма) №1 CITO TEST HCV)</t>
  </si>
  <si>
    <t>Код ДК 021:2015-33120000-7 - Системи реєстрації медичної інформації та дослідне обладнання (Швидкий Уреазний Тест (AMA RUT): AMA RUT Pro)</t>
  </si>
  <si>
    <t>Код ДК 021:2015-33120000-7 - Системи реєстрації медичної інформації та дослідне обладнання(Тест COVID-19)</t>
  </si>
  <si>
    <t>Код ДК 021:2015-33120000-7 Системи реєстрації медичної інформації та дослідне обладнання (Тест-смужки Rightest (Райтест) Elsa 50 шт., Тест-смужки Contour (Контур) Plus №50)</t>
  </si>
  <si>
    <t>Код ДК 021:2015-33120000-7 Системи реєстрації медичної інформації та дослідне обладнання (тест-експрес для визначення Ag Covid-19 №1)</t>
  </si>
  <si>
    <t>Код ДК 021:2015-33120000-7 Системи реєстрації медичної інформації та дослідне обладнання (тест-касета Sniper д/визн. 10 наркотиків (сеча))</t>
  </si>
  <si>
    <t>Код ДК 021:2015-33120000-7 Системи реєстрації медичної інформації та дослідне обладнання(iDia Система моніторингу рівня глюкози в крові( код НК024:2019-58168 Система контролю рівня глюкози в крові / кетонів ІВД для домашнього використання / пункті догляду))</t>
  </si>
  <si>
    <t>Код ДК 021:2015-33120000-7 Системи реєстрації медичної інформації та дослідне обладнання(Кабель пацієнта на 10 відведень, електрод багаторазовий присоска дорослий, електрод багаторазовий прищіпка дорослий)</t>
  </si>
  <si>
    <t>Код ДК 021:2015-33120000-7 Системи реєстрації медичної інформації та дослідне обладнання(Тест швидкий для визначення COVID-19 COV-S23)</t>
  </si>
  <si>
    <t>Код ДК 021:2015-33122000-1 Офтальмологічне обладнання (Щілинна лампа Біомед YZ-05 зі столом) (код НК 024:2019-35148-Лампа щілинна офтальмологічна, оглядова))</t>
  </si>
  <si>
    <t>Код ДК 021:2015-33140000-3 - Медичні матеріали (Голка для спинальної анестезії 25G (код НК024:2019-35212-Голка спінальна, одноразового застосування))</t>
  </si>
  <si>
    <t>Код ДК 021:2015-33140000-3 - Медичні матеріали (Подовжувач 150 см для інфузійних магістралей високого тиску одн. вик. стер.(код НК024:2019-12170-Набір для подовження магістралі для внутрішньовенних вливань))</t>
  </si>
  <si>
    <t>Код ДК 021:2015-33140000-3 - Медичні матеріали (Спрей катетер (НК 024:2019:61511 - Спрей-катетер ендоскопічний))</t>
  </si>
  <si>
    <t>Код ДК 021:2015-33140000-3 - Медичні матеріали (Спринцівка АЗ(код НК 024:2019-34630 Спринцовка, ручна, нестерильна))</t>
  </si>
  <si>
    <t>Код ДК 021:2015-33140000-3 - Медичні матеріали(Зонд (катетер) шлунковий №30( код НК 024:2019-38561 Зонд назогастральний / орогастральний), Джгут для венозних маніпуляцій для дорослих( код НК 024:2019-35844 Джгут на верхню / нижню кінцівку, багаторазового використання))</t>
  </si>
  <si>
    <t>Код ДК 021:2015-33140000-3 - Медичні матеріали(Катетер аспіраційний для відсмоктування №6( код НК 024:2019-34923 Катетер аспіраційної системи, загального призначення), Катетер аспіраційний для відсмоктування №8( код НК 024:2019-34923 Катетер аспіраційної системи, загального призначення), Катетер аспіраційний для відсмоктування №10( код НК 024:2019-34923 Катетер аспіраційної системи, загального призначення), Катетер  типу метелик G23( код НК 024:2019-10678 Катетер для введення), Система для вливання інфузійного розчину ПР( код НК 024:2019-43324 Система для переливання рідин загального призначення))</t>
  </si>
  <si>
    <t>Код ДК 021:2015-33140000-3 Медичні матеріали ( Шприц 2 ml (мл) луєр трьохкомпонентний ін’єкційний одноразового застосування з двома голками 0,6х32 mm (мм) (23Gx1 1/4)/0,55х25 mm (мм) (24Gx1))</t>
  </si>
  <si>
    <t>Код ДК 021:2015-33140000-3 Медичні матеріали (Бинт 7м*14см ст., Бинт 5м*10см ст)</t>
  </si>
  <si>
    <t>Код ДК 021:2015-33140000-3 Медичні матеріали (Бинт н/ст. 7/14 см, бинт н/ст. 5/10 см, вата 100,0 грм н/с, голка спінальна 120 мм, голка спінальна 90 мм, джгут із застібкою, ємність для збору слини, мокроти, стерильний 60мл, ємність для сечі 60мл н/с, катетер Фоллея № 16, катетер Фоллея № 18, лезо скальпеля 15, лейкопластир широкий 2*500, скарифікатор №200, термометр медичний, зонд шлунковий №14, зонд шлунковий №16, шпатель одноразовий)</t>
  </si>
  <si>
    <t>Код ДК 021:2015-33140000-3 Медичні матеріали (Захоплюючі щіпці типу Гріффін 230 см (Код НК 024:2019-35524-Гнучкі ендоскопічні захватні щіпці, багаторазові))</t>
  </si>
  <si>
    <t>Код ДК 021:2015-33140000-3 Медичні матеріали (Рукавички хір.н/припудрені ст. р.6,5, рукавички Medicare (Медікеа) хір. ст. припудр. р.8,0, рукавички Medicare (Медікеа) хір. ст. н/припудр. р.7,0, рукавички Medicare (Медікеа) огляд. нітрил. н/ст. н/припудр. (блакитні) р.М пара, рукавички Medicare (Медікеа) огляд. нітрил. н/ст. н/припудр. (блакитні) р.S пара, рукавички Medicare (Медікеа) огляд. латекс. н/ст. н/припудр. р.L, катетер канюля 20G)</t>
  </si>
  <si>
    <t>Код ДК 021:2015-33140000-3 Медичні матеріали (Системи ПР)</t>
  </si>
  <si>
    <t>Код ДК 021:2015-33140000-3 Медичні матеріали (Шовний матеріал 4/0 ріж.,поліамід матеріали шовні хір.ст.,з атравмат голкою 20мм, Шовний матеріал Поліамід 3/0 колюча голка 25мм, Шовний матеріал Поліамід 2/0 колюча голка 25мм, Шовний матеріал Поліамід 0 колюча голка 1/2 кола 40мм 75 см, Шовк №4, Шовк ст. №5,Шовк ст. №3 1,5м без голки, Шовк ст. №3 1,5м без голки,Серветки марл. ст. Білосніжка 45см*29см 2 шар. №1, Лейкопластир хір. проз. Леотранс 1,25см*5м №1, Лейкопластир Транспор 2,5см*9,1м (1527-1), Лейкопластир Мікропор на діспенсері 12,5мм*5м, Лейкопластир мед. на ткан. основі 2см*500см, Лейкопластир мед. на полім. основі 2,5см*500см в котушці з підвісом, Лейкопластир мед. "FP Family Plast" (Фемілі Пласт) на шовк. основі 2,5см*500см, Лейкопластир мед. "FP Family Plast" (Фемілі Пласт) на ткан. основі 5см*500см, Лейкопластир мед. "FP Family Plast" (Фемілі Пласт) на полім. основі 1,25см*500см,Лейкопластир Леотранс 5см*5м №1, Лейкопластир кат. 1,25см*9,1см хір. Мікропор,Лейкопластир Urgo (Урго) Ургофілм 5м*2,5см прозор., Лейкопластир Urgo (Урго) Ургофілм 5м*1,25см, Лейкопластир Urgo (Урго) Ургосівал 5м*5см, Лейкопластир Urgo (Урго) Ургосівал 5м*2,5 см, Лейкопластир Urgo (Урго) Ургосівал шовкова стрічка 5м*1,25см, Лейкопластир Urgo (Урго) Ургопор 5м*2,5см гіпоалерг., Лейкопластир Urgo (Урго) Ургопор 5м*1,25см гіпоалерг., Лезо хір. ст. р.15, Леза д/скальпелю Medicare (Медікеа) (23) №1, Леза д/скальпелю Medicare (Медікеа) (22) №1, Леза д/скальпелю Medicare (Медікеа) (21) №1,Леза д/скальпелю Medicare (Медікеа) (15) №1, Леза д/скальпелю Medicare (Медікеа) (11) №1, Кетгут №3, Капрон-Б ст. №5 = 1,25 м, Капрон-Б ст. №4 = 1,25 м, Капрон-Б ст. №2,5 = 1,25 м, Вата н/ст. 50 г гігроск. рол., Відріз марл. н/ст. 5 м*90 см, Відріз марл. н/ст. 10м*90см, Відріз марл. н/ст. 1м*90см )</t>
  </si>
  <si>
    <t>Код ДК 021:2015-33140000-3 Медичні матеріали (Шорти одноразові)</t>
  </si>
  <si>
    <t>Код ДК 021:2015-33140000-3 Медичні матеріали (бахіли одноразові, катетер в/в синій, катетер в/в жовтий, рукавиці одноразові нітрилові оглядові неприпудрені в асортименті,  рукавиці медичні стерильні в асортименті,  сечоприймач одноразовий 2л, система одноразова ПР, шапочка одноразова РР, шприц одноразовий 50,0)</t>
  </si>
  <si>
    <t>Код ДК 021:2015-33140000-3 Медичні матеріали (бинт марлевий медичний 5*10см н/с, бинт марлевий медичний 7*14 см н/с, лезо стерильне №11, шовний матеріал НЕЙЛОН 3/0(2), шовний матеріал НЕЙЛОН (0) (М3,5), шовний матеріал ПОЛІАМІД 2/0, шовний матеріал ПОЛІАМІД 4/0, шовний матеріал ПОЛІГЛЮКОЛІД 5/0, лейкопластир 2*500 мед. на бавовняній основі)</t>
  </si>
  <si>
    <t>Код ДК 021:2015-33140000-3 Медичні матеріали (бинт марлевий медичний 7*14 см н/с, бинт марлевий медичний 5*10 см н/с )</t>
  </si>
  <si>
    <t>Код ДК 021:2015-33140000-3 Медичні матеріали (відріз марлевий 1000*90 см нестерильний, сечоприймач з отвором для зливу стер. 2000 мл, катетер (канюля) в/в з ін'єкц. портом G20 стерильна,катетер (канюля) в/в з ін'єкц. портом G22 стерильна )</t>
  </si>
  <si>
    <t>Код ДК 021:2015-33140000-3 Медичні матеріали (відріз марлевий н/ст 3м*90см, відріз марлевий н/ст 10м*90см, відріз марлевий н/ст 1м*90см )</t>
  </si>
  <si>
    <t>Код ДК 021:2015-33140000-3 Медичні матеріали (лейкопластир 2*500 Тета, лейкопластир 1*500 Тета, бинт гіпсовий 2,7*20 см Білосніжка, бинт гіпсовий 2,7*15 см Білосніжка, бинт гіпсовий 2,7*10 см Білосніжка,  лезо д/скальпелю №23)</t>
  </si>
  <si>
    <t>Код ДК 021:2015-33140000-3 Медичні матеріали (марля медична рул.)</t>
  </si>
  <si>
    <t>Код ДК 021:2015-33140000-3 Медичні матеріали (півмаска фільтрувальна БУК-К3 FFP3 NR)</t>
  </si>
  <si>
    <t>Код ДК 021:2015-33140000-3 Медичні матеріали (серветки спиртові №200)</t>
  </si>
  <si>
    <t>Код ДК 021:2015-33140000-3 Медичні матеріали (система д/ПК МР)</t>
  </si>
  <si>
    <t>Код ДК 021:2015-33140000-3 Медичні матеріали (шприц 2-комп. 1 голка ЮФ 2 мл 23 G)</t>
  </si>
  <si>
    <t>Код ДК 021:2015-33140000-3 Медичні матеріали (шприц ін'єкційний одноразового застосування 2 мл, шприц ін'єкційний одноразового застосування 5 мл, шприц ін'єкційний одноразового застосування 10 мл, шприц ін'єкційний одноразового застосування 20 мл, система для в/в вливань ПР, катетер (канюля) в/в з ін'єкц. портом G20 стерильна, катетер (канюля) в/в з ін'єкц. портом G22 стерильна)</t>
  </si>
  <si>
    <t>Код ДК 021:2015-33140000-3 Медичні матеріали(Катетер Фолея 2-х ходов 16(код НК 024:2019-34917 Внутрішній уретральний дренажний катетер), Катетер Фолея 2-х ходов 18(код НК 024:2019-34917 Внутрішній уретральний дренажний катетер), Катетер аспіраційний для відсмоктування №14(код НК 024:2019-34923 Катетер аспіраційної системи, загального призначення))</t>
  </si>
  <si>
    <t>Код ДК 021:2015-33140000-3 Медичні матеріали(Пелюшки гігієнічні поглинаючі 60*90 см "Gentle Touch" №5)</t>
  </si>
  <si>
    <t>Код ДК 021:2015-33140000-3 Медичні матеріали(Поставка компонентів крові )</t>
  </si>
  <si>
    <t>Код ДК 021:2015-33150000-6 Апаратура для радіотерапії, механотерапії, електротерапії та фізичної терапії (Апарат для гальванізації та електрофорезу ПОТІК-01М, Дарсонваль BactoSfera DARSONVAL, апарат для УВЧ-терапії УВЧ-80-4 "УНДАТЕРМ" з ручним налаштуванням, небулайзер )</t>
  </si>
  <si>
    <t>Код ДК 021:2015-33150000-6 Апаратура для радіотерапії, механотерапії, електротерапії та фізичної терапії( Апарат штучної вентиляції легень S1600(Код НК 024:2019-47244-Апарат штучної вентиляції легенів загального призначення для інтенсивної терапії))</t>
  </si>
  <si>
    <t>Код ДК 021:2015-33160000-9 - Устаткування для операційних блоків (33168000-5 - Ендоскопічні та ендохірургічні інструменти(OF-B194 Клапан CO2 Газ/Вода GI: 90К/90і-серії(Код НК 024:2019:61792 - Клапан повітряно-водний ендоскопічний,багаторазового використання))</t>
  </si>
  <si>
    <t>Код ДК 021:2015-33160000-9 - Устаткування для операційних блоків (Резектоскоп LAPOMED (Код НК 024:2019-35301- Резектоскоп))</t>
  </si>
  <si>
    <t>Код ДК 021:2015-33160000-9 - Устаткування для операційних блоків(Голкотримач 180,0мм(код НК 024:2019-12726 Багаторазовий тримач голки), Голкотримач 250мм(код НК 024:2019-12726 Багаторазовий тримач голки), Зонд 2х сторон. гудзиковий 160мм(код НК 024:2019-35253 Зонд для носових пазух), Зонд 2х сторон. гудзиковий 200мм(код НК 024:2019-35253 Зонд для носових пазух), Затискач (Цапка)  для операційної білизни(код НК 024:2019-10904 Затискач для хірургічних інструментів), Затискач по  (Мікуліч) з кремальєрами для прикріплення білизни до очеревини. (код НК 024:2019-10904 Затискач для хірургічних інструментів), Ручка скальпеля велика 130мм(код НК 024:2019-44959 Тримач хірургічного леза), Набір розширювачів Гігара від  №3-12(код НК 024:2019-45918 Середній / Глибокий ранорозширювач), Пінцет анатомічний 145мм(код НК 024:2019-15800 Препарувальний пінцет), Пінцет анатомічний 180мм(код НК 024:2019-15800 Препарувальний пінцет), Пінцет хірургічний 150мм(код НК 024:2019-15800 Препарувальний пінцет), Пінцет хірургічний 180мм(код НК 024:2019-15800 Препарувальний пінцет), Ножиці в/зіг  т/к з твердосплавом дов. 170мм(код НК 024:2019-38727 Хірургічні ножиці загального призначення, багаторазові), Ложка гінекологічна двухстороння(код НК 024:2019-47904 Ложка кісткова), Кюретка для  вискоблювання слизової матки гостра №1(код НК 024:2019-31335 Кюретка кісткова), Кюретка для  вискоблювання слизової матки гостра №2(код НК 024:2019-31335 Кюретка кісткова), Кюретка  біопсіййна дов 230мм Д-4мм(код НК 024:2019-31335 Кюретка кісткова), Кюретка  біопсіййна дов 230мм Д-3мм(код НК 024:2019-31335 Кюретка кісткова), Дзеркало по  Річардсону(код НК 024:2019-33431 Дзеркало ларингеальне), Дзеркало вагінальне  110*30(код НК 024:2019-33431 Дзеркало ларингеальне), Дзеркало вагінальне  110*27(код НК 024:2019-33431 Дзеркало ларингеальне), Дзеркало вагінальне 110*32(код НК 024:2019-33431 Дзеркало ларингеальне), Дзеркало вагінальне  Дуайєна №5(код НК 024:2019-33431 Дзеркало ларингеальне), Дзеркало вагінальне  Дуайєна №2(код НК 024:2019-33431 Дзеркало ларингеальне), Затискач прямий   Кохера-Nippow 185мм(код НК 024:2019- Затискач для хірургічних інструментів), Затискач  Кохера прямий 160мм(код НК 024:2019-10904 Затискач для хірургічних інструментів), Затискач  Кохера зігнутий 160мм(код НК 024:2019-10904 Затискач для хірургічних інструментів), Затискач  Пеан,  зігнутий. 20см(код НК 024:2019-10904 Затискач для хірургічних інструментів), Затискач кровоспинний Спесера-Велса в/з 230мм(код НК 024:2019-10904 Затискач для хірургічних інструментів), Затискач  Хепі вигнутий, жорсткий №1 дов 219мм(код НК 024:2019-10904 Затискач для хірургічних інструментів), Затискач гінекологічний  по Хепі Баллейтанйн жорсткий №2 233мм(код НК 024:2019-10904 Затискач для хірургічних інструментів), Затискач  к/с Кохера 1х2 зубий 200мм зігнутий(код НК 024:2019-10904 Затискач для хірургічних інструментів), Відсмоктувач "БІОМЕД" медичний 7Е-А(код НК 024:2019-17435 Аспіраційна система для аутопсії), Корцанг зігнутий(код НК 024:2019-62466 Щипці хірургічні для м'яких тканин, у формі пінцета, багаторазового використання), Лоток ниркоподібнийй 260 мм(код НК 024:2019-42893 Лоток загального призначення, багаторазовий), Шпатель Revesdin лопатка(код НК 024:2019-14066 Хірургічний шпатель для язика), Ручка скальпеля велика(код НК 024:2019-44959 Тримач хірургічного леза), Лезо  для скальпелю(код НК 024:2019-37445 Лезо скальпеля, одноразового використання), Ранорозширювач по Pikapgy гінокологічний(код НК 024:2019-45918 Середній / Глибокий ранорозширювач), Пінцет анатомічний   250мм(код НК 024:2019-15800 Препарувальний пінцет), Ножниці  Для розтину м'яких  тканин в/з глибокій  порожнині твердо сплав(код НК 024:2019-38727 Хірургічні ножиці загального призначення, багаторазові), Ножиці тупокінцеві вертикально зігнуті  200мм(код НК 024:2019-38727 Хірургічні ножиці загального призначення, багаторазові), Ножиці в/зіг  т/к з твердосплавом дов. 170мм(код НК 024:2019-38727 Хірургічні ножиці загального призначення, багаторазові), Гачок пластинчастий по Фарабефу(код НК 024:2019-46769 Фістульний гачок), Голкотримач з твердосплав 210мм(код НК 024:2019-12726 Багаторазовий тримач голки), "Дзеркало вагінальне Trelat, лопатка = 85 х 33 мм"(код НК 024:2019-33431 Дзеркало ларингеальне), "Дзеркало вагінальне Trelat, лопатка = 95х 35 мм"(код НК 024:2019-33431 Дзеркало ларингеальне), "Дзеркало вагінальне Trelat, лопатка =  115 х 33мм"(код НК 024:2019-33431 Дзеркало ларингеальне))</t>
  </si>
  <si>
    <t>Код ДК 021:2015-33160000-9 - Устаткування для операційних блоків(Стерильний репозиційний гемостатичний кліпуючий пристрій Lockado™, відкриття 11мм (НК 024:2019:61207-Кліпса ендоскопічна для шлунково-кишкового тракту, короткочасного використання), одноразові щипці для біопсії 2300мм (НК 024:2019:38711 - Гнучкі ендоскопічні біопсійні щипці, одноразові), петля КліаГрасп FM-ES0006(2400), для холодної поліпектомії, 6мм, ротаційна, петля КліаГрасп FM-ES0004(2400), для холодної поліпектомії, 10мм, ротаційна (НК 024:2019:62615-Петля ріжуча механічна для поліпектомії))</t>
  </si>
  <si>
    <t>Код ДК 021:2015-33160000-9 Устаткування для операційних блоків (Стіл операційний МТ400В, світильник операційний ART-II-500, стельовий)</t>
  </si>
  <si>
    <t>Код ДК 021:2015-33160000-9 Устаткування для операційних блоків (світильник операційний Біомед KD-2012D-8)</t>
  </si>
  <si>
    <t>Код ДК 021:2015-33160000-9 Устаткування для операційних блоків (стіл операційний МТ 300D)</t>
  </si>
  <si>
    <t>Код ДК 021:2015-33160000-9 Устаткування для операційних блоків(Коагулятор Клія-Гемостат(код НК 024:2019-44776 Електрохірургічна система), Кліа-Гемогаспер( код НК 024:2019 Гнучкі ендоскопічні електрохірургічні щипці, одноразові))</t>
  </si>
  <si>
    <t>Код ДК 021:2015-33160000-9 — Устаткування для операційних блоків (CS6021T Щітка для чистки одноразова, комплект з 10 шт. до GI:i10/K10/90i/90K/70K/80K/85K/85-серій(НК 024:2019-038835 - Щітка для очищення ендоскопа, одноразового використання), CS-C9S Циліндрична щітка для чистки (Повітря/Вода, Відсмоктування, Канал, Вода/Струмінь)/ (Повітря/Вода, Всмоктування,) для GI i10/K10/90i/90K/70K/80K/85K/70/80/85-серій (НК 024:2019-035979 - Щітка для очищення ендоскопа, багаторазового використання))</t>
  </si>
  <si>
    <t>Код ДК 021:2015-33160000-9-Устаткування для операційних блоків (цистоскоп, код НК 024:2019: 11112 — Цистоскоп)</t>
  </si>
  <si>
    <t xml:space="preserve">Код ДК 021:2015-33160000-9-Устаткування для операційних блоків(Цистоскоп, код НК 024:2019: 11112 — Цистоскоп)
</t>
  </si>
  <si>
    <t>Код ДК 021:2015-33170000-2 - Обладнання для анестезії та реанімації (Трубка ендотрахеальна  №7,5 з манжетою(код НК 024:2019-47691 Трубка ендотрахеальна з аспіраційної манжетою))</t>
  </si>
  <si>
    <t>Код ДК 021:2015-33190000-8 - Медичне обладнання та вироби медичного призначення різні (Ємкість-контейнер  полімерний для дезенф. та передстер. обробки мед.вир.10-л зі зливом (код НК024:2019-13730 Стерилізаційний контейнер))</t>
  </si>
  <si>
    <t>Код ДК 021:2015-33190000-8 - Медичне обладнання та вироби медичного призначення різні (Відсмоктувач  медичний  мод 9Е-А(код НК024:2019-17435- Аспіраційна система для аутопсії))</t>
  </si>
  <si>
    <t>Код ДК 021:2015-33190000-8 - Медичне обладнання та вироби медичного призначення різні (Коробка для стерилізації  160 х120 мм (КСК-3 код НК024:2019-13730 Стерилізаційний контейнер), Коробка для стерилізації, 240 х 160 мм (КСК-6 код НК024:2019-13730 Стерилізаційний контейнер), Коробка для стерилізації,  290 х 160 мм (КСК-9 код НК024:2019-13730 Стерилізаційний контейнер), Коробка для стерилізації, 340 х 160 мм (КСК-12 код НК024:2019-13730 Стерилізаційний контейнер), Коробка для стерилізації, 390 х 190 мм (КСК-18 код НК024:2019-13730 Стерилізаційний контейнер))</t>
  </si>
  <si>
    <t>Код ДК 021:2015-33190000-8 - Медичне обладнання та вироби медичного призначення різні (Коробка для стерилізації  160 х120 мм (КСК-3 код НК024:2019-13730 Стерилізаційний контейнер), Коробка для стерилізації, 340 х 160 мм (КСК-12 код НК024:2019-13730 Стерилізаційний контейнер), Коробка для стерилізації, 390 х 190 мм (КСК-18 код НК024:2019-13730 Стерилізаційний контейнер), Лоток з нержавіючої сталі  н/п 260мм (код НК024:2019-12143-лоток для інструментів) Лоток з нержавіючої сталі  н/п 200мм (код НК024:2019-12143-лоток для інструментів))</t>
  </si>
  <si>
    <t>Код ДК 021:2015-33190000-8 - Медичне обладнання та вироби медичного призначення різні (Пробірки вакуумні пластикові IMPROVACUTER, без наповнювача 4 мл, 13х74мм( код НК 024:2019- 47590 Пробірка вакуумна для відбору зразків крові IVD, без добавок), Пробірки вакуумні скляні з подвійною шкалою для ШОЕ IMPROVACUTER з цитратом натрію 3,8 1,28 мл(код НК 024:2019- 42585 Пробірка вакуумна для взяття зразків крові, з цитратом натрію, IVD))</t>
  </si>
  <si>
    <t>Код ДК 021:2015-33190000-8 - Медичне обладнання та вироби медичного призначення різні (Підставка під бікс( код НК 024:2019-61454 - Стійка для хірургічного лотка)</t>
  </si>
  <si>
    <t>Код ДК 021:2015-33190000-8 - Медичне обладнання та вироби медичного призначення різні (Скарифікатор (ланцет)№200( код НК 024:2019-13472 Скарифікатор))</t>
  </si>
  <si>
    <t>Код ДК 021:2015-33190000-8 - Медичне обладнання та вироби медичного призначення різні(Ємкість-контейнер  полімерний для дезенф. та передстер. обробки мед.вир.5л(код НК 024:2019-13730 Стерилізаційний контейнер), Ємкість-контейнер  полімерний для дезенф. та передстер. обробки мед.вир.10-л(код НК024:2019-13730 Стерилізаційний контейнер), Ємкість-контейнер  полімерний для дезенф. та передстер. обробки мед.вир.10-л зі зливом(код НК024:2019-13730 Стерилізаційний контейнер))</t>
  </si>
  <si>
    <t>Код ДК 021:2015-33190000-8 - Медичне обладнання та вироби медичного призначення різні(Візок для перевезення хворих із регулятором висоти ТПБР( код НК 024:2019-31163 Каталка лежача адаптаційна)</t>
  </si>
  <si>
    <t>Код ДК 021:2015-33190000-8 - Медичне обладнання та вироби медичного призначення різні(Комбінезон TYVEK 500 Xpert білий (TYCHF5SWHXP) XL(код НК 024:2019 - 16176 Ізолювальний костюм), Комбінезон TYVEK 500 Xpert білий (TYCHF5SWHXP) XXL(код НК 024:2019 - 16176 Ізолювальний костюм))</t>
  </si>
  <si>
    <t>Код ДК 021:2015-33190000-8 - Медичне обладнання та вироби медичного призначення різні(Крісло туалет(код НК 024:2019-40539)</t>
  </si>
  <si>
    <t>Код ДК 021:2015-33190000-8 - Медичне обладнання та вироби медичного призначення різні(Столик анестезіолога СА( код НК 024:2019 - 13951 Стіл на анестезіологічні інструменти))</t>
  </si>
  <si>
    <t>Код ДК 021:2015-33190000-8 - Медичне обладнання та вироби медичного призначення різні(Столик анестезіолога СТ-А-2Н( код НК 024:2019 - 13951 Стіл на анестезіологічні інструменти)</t>
  </si>
  <si>
    <t>Код ДК 021:2015-33190000-8 - Медичне обладнання та вироби медичного призначення різні(Тумба медична ТМед-3(код НК 024:2019-34908 Установка пересувна, візок анестезіологічний))</t>
  </si>
  <si>
    <t>Код ДК 021:2015-33190000-8 - Медичне обладнання та вироби медичного призначення різні(Шафа медична ШМ-2(код НК 024:2019-10535), Столик інструментальний СІ-5 (код НК 024:2019-34909), Столик  маніпуляційний  СМ-3(код НК 024:2019-34909), Столик  анестезіолога СТ-А-2Н(код НК 024:2019-34885), Столик  маніпуляційний  СМ(код НК 024:2019-34909), Столик хірургічний СХ-2 нержавійка(код НК 024:2019-34909))</t>
  </si>
  <si>
    <t>Код ДК 021:2015-33190000-8 Медичне обладнання та вироби медичного призначення різні (Гінекологічне крісло КГ-3Е з електроприводом (НК 024:2019-38447 Крісло загального огляду, електричне)</t>
  </si>
  <si>
    <t>Код ДК 021:2015-33190000-8 Медичне обладнання та вироби медичного призначення різні (НК 021:2019-42585-Пробірка вакуумна для взяття зразків крові, з цитратом натрію,IVD (пробірка VACUSEL з блакитною кришкою, цитрат натрію 3,2% 13/75 мм, 2,7 мл (уп. 100 шт)), код НК 024:2019-47588- Пробірка вакуумна для відбору зразків крові IVD, з КЗЕДТА (пробірка VACUSEL з бузковою кришкою,КЗЕДТА, 13*75мм, 2мм (уп.100шт)))</t>
  </si>
  <si>
    <t>Код ДК 021:2015-33190000-8 Медичне обладнання та вироби медичного призначення різні (вакуумна пробірка Vacumed 13*75 мм, стерильна з КЗ EDTA (для 2 мл крові, з фіолетовою кришкою) 100шт), пробірка ЕДТА 200 мкл (11*40мм)</t>
  </si>
  <si>
    <t>Код ДК 021:2015-33190000-8 Медичне обладнання та вироби медичного призначення різні (пробірка вакуумна Гранум для забору крові з EDTA КЗ; розмір 13*75 мм; об'єм 4,0 мл, пластик (100шт/упаков.), пробірка вакуумна Гранум для забору крові без наповнювача; розмір 13*75 мм; об'єм 5,0 мл, пластик (100шт/упаков.), пробірка пластикова 2мл, нестерильна, з кришкою, кругле дно (500шт/упаков), пробірка вакуумна Гранум для забору крові з натрієм цитратом 3,2%; розмір 13*75 мм; об'єм 4,0 мл, пластик (100шт/упаков.))</t>
  </si>
  <si>
    <t>Код ДК 021:2015-33600000-6 - Фармацевтична продукція (Калію хлорид конц.д/п р-ну д/інф. 7,5% 10 мл)</t>
  </si>
  <si>
    <t>Код ДК 021:2015-33600000-6 - Фармацевтична продукція (Кетолонг-Дарниця р-н д/ін. 30 мг/мл амп. 1 мл, контурн. чарунк. yп., пачка №10, Аскорбінова кислота-Дарниця  р-н д/ін. 50 мг/мл амп. 2 мл, контурн. чарунк. yп., пачка №10, Гідазепам ІС® табл. 0,05 г блістер №10, Кальцію хлорид  р-н д/ін. 100 мг/мл амп. 5 мл, контурн. чарунк. yп., пачка №10, Кофеїн-Бензоат натрію-Дарниця р-н д/ін. 100 мг/мл амп. 1 мл, контурн. чарунк. yп., пачка №10, Папаверин-Дарниця р-н д/ін. 20 мг/мл амп. 2 мл, контурн. чарунк. yп., пачка №10, Платифілін-Дарниця р-н д/ін. 2 мг/мл амп. 1 мл, контурн. чарунк. yп., пачка №10, Натрію хлорид-Дарниця р-н д/ін. 9 мг/мл амп. 5 мл №10, Аспаркам р-н д/ін. амп. 5 мл, блістер у пачці №10, Диклофенак натрію р-н д/ін. 2,5 % амп. 3 мл, блістер №10, Дротаверин-Дарниця р-н д/ін. 20 мг/мл амп. 2 мл, контурн. чарунк. yп., пачка №5, Еуфілін-Дарниця р-н д/ін. 20 мг/мл амп. 5 мл №10, Пентоксифілін-Дарниця р-н д/ін. 20 мг/мл амп. 5 мл, контурн. чарунк. yп., пачка №10, Пірацетам р-н д/ін. 20 % амп. 10 мл, блістер у пачці №10, Пентоксифілін-Дарниця табл. 200 мг контурн. чарунк. уп., пачка №20, Пірацетам-Дарниця табл. в/о 200 мг контурн. чарунк. уп. №60, Прозерин-Дарниця р-н д/ін. 0,5 мг/мл амп. 1 мл №10, Венлафаксин-ЗН табл. 75 мг блістер №30, Гіацинтія табл. п/о 20мг №30, Доксепін-ЗН капс. тверд. 25 мг блістер №30, Еголанза табл. в/плівк. обол. 10 мг блістер №28, Міртазапін Сандоз табл. 30мг №20, Торендо табл. в/плівк. обол. 2 мг блістер №60, Солерон 200  табл. 200 мг блістер №60, Триттіко табл. пролонг. дії 75 мг блістер №30)</t>
  </si>
  <si>
    <t>Код ДК 021:2015-33600000-6 - Фармацевтична продукція (Морфін г/х 1% 1.0, Сибазон 0,5% 2.0, Кетамін р-н д/ін. 5% амп. 2 мл №10, Фентаніл 0,05 мг/мл 2.0, Атракуріум 10 мг/мл 5,0 №5, Пропофол-ново емул. д/ін 10 мг/мл 20,0 №5)</t>
  </si>
  <si>
    <t>Код ДК 021:2015-33600000-6 - Фармацевтична продукція (Промедол-ЗН 20 мг/мл 1,0)</t>
  </si>
  <si>
    <t>Код ДК 021:2015-33600000-6 - Фармацевтична продукція (Тіваргін-н розчин для інфузій, 42мг/мл, 100 мл.)</t>
  </si>
  <si>
    <t>Код ДК 021:2015-33600000-6 - Фармацевтична продукція (Ціанокобаламін р-н д/ін. 0,05% мл №10, Тіотриазолін р-н д/ін. 2,5% 2 мл № 10, Супрастин р-н д/ін. 20 мг 1 мл №5, Спазмалгон р-н д/ін. 5 мл №10, Рибоксин р-н д/ін. 2% 5 мл №10, Піридоксину г/х р-н 5% 1 мл №10, Нікотинова к-та р-н д/ін. 1% 1 мл №10, Мікролакс р-н рект. 5 мл №12, Лонгокаїн Хеві р-н д/ін. 5г/мл 5 мл №5, Корглікон р-н д/ін. 0,06% 1,0 №10, Глутаргін р-н д/ін. 40% 5 мл №10, Гіоксізон мазь 15г, Аскорбінова к-та р-н д/ін. 10% 2 мл №10)</t>
  </si>
  <si>
    <t>Код ДК 021:2015-33600000-6 - Фармацевтична продукція(Ультракаїн ДС р-н д/ін. 2мл №100, Спазмалгон р-н д/ін. 5 мл №10, Пангастро табл. 40 мг №28, Пангастро пор. 40 мг №5, Но-шпа р-н д/ін. 40мг 2мл №25, Верошпірон капс. 50 мг №30)</t>
  </si>
  <si>
    <t>Код ДК 021:2015-33600000-6 - Фармацевтична продукція(Ципрофлоксацин-Новофарм р-н д/інф. 2 мг/мл пляшка 100 мл №1, Левоміцетин-Дарниця табл. 500 мг контурн. чарунк. уп. №10, Фуразолідон табл. 50мг №20, Ципрофлоксацин табл. в/о 500 мг блістер №10, Дисоль р-н д/інф. пляшка 400 мл №1, Трисоль р-н д/інф. пляшка 400 мл №1, Ізосол р-н д/інф. контейнер 500 мл №1)</t>
  </si>
  <si>
    <t>Код ДК 021:2015-33600000-6 Фармацевтична продукція (L-ЛІЗИНУ ЕСЦИНАТ®, розчин для ін'єкцій, 1 мг/мл по 5 мл в ампулі №10, АМІАК, розчин для зовнішнього застосування 10 % по 100 мл у флаконах, АМІНАЗИН, розчин для ін'єкцій, 25 мг/мл по 2 мл у ампулі №10, АМІТРИПТИЛІНУ ГІДРОХЛОРИД-ОЗ, розчин для ін'єкцій, 10 мг/мл по 2 мл в ампулі №10, БАРБОВАЛ®, краплі оральні по 25 мл у флаконі з пробкою-крапельницею; по 1 флакону в пачці з картону, БІПРОЛОЛ, таблетки по 5 мг №30, БОРНА КИСЛОТА, розчин для зовнішнього застосування, спиртовий 3 % по 20 мл у флаконах, ВЕРАПАМІЛ-ДАРНИЦЯ, розчин для ін'єкцій, 2,5 мг/мл по 2 мл в ампулі №10, ВІКАСОЛ-ДАРНИЦЯ, розчин для ін'єкцій, 10 мг/мл по 1 мл в ампулі №10, НІКОТИНОВА КИСЛОТА-ДАРНИЦЯ, розчин для ін'єкцій 10 мг/мл по 1 мл в ампулі №10, АСКОРБІНОВА КИСЛОТА-ДАРНИЦЯ, розчин для ін'єкцій, 50 мг/мл, по 2 мл в ампулі №10, ПІРИДОКСИН-ДАРНИЦЯ (ВІТАМІН В6-ДАРНИЦЯ), розчин для ін'єкцій, 50 мг/мл по 1 мл в ампулі №10, ЦІАНОКОБАЛАМІН (ВІТАМІН В12), розчин для ін'єкцій, 0,5 мг/мл по 1 мл в ампулі №10, ГЛУТАРГІН, концентрат для розчину для інфузій, 400 мг/мл  по 5 мл в ампулі №10, БРИЛЬЯНТОВИЙ ЗЕЛЕНИЙ, розчин для зовнішнього застосування, спиртовий 1 %, по 20 мл  у флаконах, ДІОКСИДИН, розчин, 10 мг/мл по 10 мл в ампулі №10, ЕСПУМІЗАН® L, краплі оральні, емульсія, 40 мг/мл по 30 мл  у флаконі з крапельницею-вставкою та пробкою; по 1 флакону в картонній коробці, ЙОДУ РОЗЧИН СПИРТОВИЙ 5 %, розчин для зовнішнього застосування, спиртовий 5 % по 20 мл у флаконі-крапельниці; по 1 флакону - крапельниці в пачці з картону, КОРГЛІКОН, розчин для ін'єкцій, 0,6 мг/мл, по 1 мл в ампулі №10, КОФЕЇН-БЕНЗОАТ НАТРІЮ, розчин для ін'єкцій, 200 мг/мл, по 1 мл в ампулі №10, МЕЗАТОН, розчин для ін'єкцій, 10 мг/мл по 1 мл в ампулі №10, ПЕРЕКИС ВОДНЮ, розчин для зовнішнього застосування 3 % по 100 мл у флаконах, ПРОЗЕРИН-ДАРНИЦЯ, розчин для ін'єкцій, 0,5 мг/мл по 1 мл в ампулі №10, ПІРАЦЕТАМ-ЗДОРОВ'Я, розчин для ін'єкцій, 200 мг/мл, по 10 мл в ампулі; №10, РЕНАЛГАН®, розчин для ін'єкцій по 5 мл в ампулі №5, СПИРТ МУРАШИНИЙ, розчин для зовнішнього застосування спиртовий, по 50 мл у флаконах, СТЕРОФУНДИН ISO, розчин для інфузій по 500 мл №10, СУПРАСТИН®, розчин для ін'єкцій, 20 мг/мл, по 1 мл в ампулі №5, ТРИСОЛЬ, розчин для інфузій по 200 млу пляшках, ТОРАСЕМІД-ДАРНИЦЯ, розчин для ін`єкцій, 20 мг/4 мл, по 4 мл в ампулі №5, НАТРІЮ ХЛОРИД - ДАРНИЦЯ, розчин для ін'єкцій, 9 мг/мл, по 5 мл в ампулі №10)» (далі — Закупівля) шляхом оприлюднення звіту про договір про закупівлю, укладеного без використання електронної системи закупівель.
Про розгляд, затвердження та оприлюднення річного плану закупівель на 2022 рік в електронній системі закупівель (далі — Електронна система) у порядку, встановленому Законом (Додаток 2).
Під час розгляду першого питання порядку денного:
КНП «Стебницька міська лікарня» ДМР, що розташований за адресою: 82172, Львівська обл., м. Стебник, вул. Січових Стрільців, 2 (далі – Замовник), планує здійснити закупівлю «Код ДК 021:2015-33600000-6 Фармацевтична продукція(L-ЛІЗИНУ ЕСЦИНАТ®, розчин для ін'єкцій, 1 мг/мл по 5 мл в ампулі №10, АМІАК, розчин для зовнішнього застосування 10 % по 100 мл у флаконах, АМІНАЗИН, розчин для ін'єкцій, 25 мг/мл по 2 мл у ампулі №10, АМІТРИПТИЛІНУ ГІДРОХЛОРИД-ОЗ, розчин для ін'єкцій, 10 мг/мл по 2 мл в ампулі №10, БАРБОВАЛ®, краплі оральні по 25 мл у флаконі з пробкою-крапельницею; по 1 флакону в пачці з картону, БІПРОЛОЛ, таблетки по 5 мг №30, БОРНА КИСЛОТА, розчин для зовнішнього застосування, спиртовий 3 % по 20 мл у флаконах, ВЕРАПАМІЛ-ДАРНИЦЯ, розчин для ін'єкцій, 2,5 мг/мл по 2 мл в ампулі №10, ВІКАСОЛ-ДАРНИЦЯ, розчин для ін'єкцій, 10 мг/мл по 1 мл в ампулі №10, НІКОТИНОВА КИСЛОТА-ДАРНИЦЯ, розчин для ін'єкцій 10 мг/мл по 1 мл в ампулі №10, АСКОРБІНОВА КИСЛОТА-ДАРНИЦЯ, розчин для ін'єкцій, 50 мг/мл, по 2 мл в ампулі №10, ПІРИДОКСИН-ДАРНИЦЯ (ВІТАМІН В6-ДАРНИЦЯ), розчин для ін'єкцій, 50 мг/мл по 1 мл в ампулі №10, ЦІАНОКОБАЛАМІН (ВІТАМІН В12), розчин для ін'єкцій, 0,5 мг/мл по 1 мл в ампулі №10, ГЛУТАРГІН, концентрат для розчину для інфузій, 400 мг/мл  по 5 мл в ампулі №10, БРИЛЬЯНТОВИЙ ЗЕЛЕНИЙ, розчин для зовнішнього застосування, спиртовий 1 %, по 20 мл  у флаконах, ДІОКСИДИН, розчин, 10 мг/мл по 10 мл в ампулі №10, ЕСПУМІЗАН® L, краплі оральні, емульсія, 40 мг/мл по 30 мл  у флаконі з крапельницею-вставкою та пробкою; по 1 флакону в картонній коробці, ЙОДУ РОЗЧИН СПИРТОВИЙ 5 %, розчин для зовнішнього застосування, спиртовий 5 % по 20 мл у флаконі-крапельниці; по 1 флакону - крапельниці в пачці з картону, КОРГЛІКОН, розчин для ін'єкцій, 0,6 мг/мл, по 1 мл в ампулі №10, КОФЕЇН-БЕНЗОАТ НАТРІЮ, розчин для ін'єкцій, 200 мг/мл, по 1 мл в ампулі №10, МЕЗАТОН, розчин для ін'єкцій, 10 мг/мл по 1 мл в ампулі №10, ПЕРЕКИС ВОДНЮ, розчин для зовнішнього застосування 3 % по 100 мл у флаконах, ПРОЗЕРИН-ДАРНИЦЯ, розчин для ін'єкцій, 0,5 мг/мл по 1 мл в ампулі №10, ПІРАЦЕТАМ-ЗДОРОВ'Я, розчин для ін'єкцій, 200 мг/мл, по 10 мл в ампулі; №10, РЕНАЛГАН®, розчин для ін'єкцій по 5 мл в ампулі №5, СПИРТ МУРАШИНИЙ, розчин для зовнішнього застосування спиртовий, по 50 мл у флаконах, СТЕРОФУНДИН ISO, розчин для інфузій по 500 мл №10, СУПРАСТИН®, розчин для ін'єкцій, 20 мг/мл, по 1 мл в ампулі №5, ТРИСОЛЬ, розчин для інфузій по 200 млу пляшках, ТОРАСЕМІД-ДАРНИЦЯ, розчин для ін`єкцій, 20 мг/4 мл, по 4 мл в ампулі №5, НАТРІЮ ХЛОРИД - ДАРНИЦЯ, розчин для ін'єкцій, 9 мг/мл, по 5 мл в ампулі №10)</t>
  </si>
  <si>
    <t>Код ДК 021:2015-33600000-6 Фармацевтична продукція (Адреналіну г/т 0,18% 1мл №10)</t>
  </si>
  <si>
    <t xml:space="preserve">Код ДК 021:2015-33600000-6 Фармацевтична продукція (Амоксил-К порошок для розчину для ін'єкцій по 1,2 г порошку у флаконі №1, Атропін-Дарниця розчин для ін'єкцій 1мг/мл, амп. 1мл №10, Лідокаїн-Дарниця р-н д/ін. 2% амп. 2мл №10, Магнію Сульфат-Дарниця р-н д/ін. 25% амп. 5мл №10, Метоклопрамід-Дарниця р-н д/ін. 5 мг/мл амп. 2 мл №10,Налоксон-ЗН р-н д/ін. 0,4 мг/мл амп. 1 мл,коробка №10)
 </t>
  </si>
  <si>
    <t>Код ДК 021:2015-33600000-6 Фармацевтична продукція (Анальгін-Дарниця, розчин для ін'єкцій, 500 мг/мл, по 2 мл в ампулі, Димедрол-Дарниця, розчин для ін'єкцій, 10 мг/мл по 1 мл в ампулі, Аміак, розчин для зовнішнього застосування 10% по 40 мл у флаконах, Перекис водню,розчин для зовнішнього застосування 3%, по 100 мл у флаконах, Супрастин, розчин для ін'єкцій 20мг/мл, по 1 мл в ампулі №5)</t>
  </si>
  <si>
    <t>Код ДК 021:2015-33600000-6 Фармацевтична продукція (Бетайод р-н 10% 100 мл, бетадин р-н 10% 120 мл, бетадин р-н 10% 1000 мл)</t>
  </si>
  <si>
    <t>Код ДК 021:2015-33600000-6 Фармацевтична продукція (Глюкоза р-н для інф. 50 мг/мл по 200 мл, Натрію хлорид р-н для інф. 9 мг/мл по 200 мл, Розчин Рінгера р-н для інф. по 200 мл, Сангера р-н для ін'єкцій 100 мг/мл по 5 мл в амп. №5, Суфер р-н для в/ін. 20 мг/мл по 5 мл в ампулі №5, Флуконазол р-н для інф. 2 мг/мл по 100 мл)</t>
  </si>
  <si>
    <t>Код ДК 021:2015-33600000-6 Фармацевтична продукція (Дексаметазону фосфат р-н д/ін. 0,4% 1 мл №10 -t)</t>
  </si>
  <si>
    <t>Код ДК 021:2015-33600000-6 Фармацевтична продукція (Дитилін 20мг/мл 5,0 №10)</t>
  </si>
  <si>
    <t>Код ДК 021:2015-33600000-6 Фармацевтична продукція (Дофамін конц. д/інф. 4% амп., 5мл №10)</t>
  </si>
  <si>
    <t>Код ДК 021:2015-33600000-6 Фармацевтична продукція (Дофамін конц.д/інф. 4% амп. 5мл №)</t>
  </si>
  <si>
    <t>Код ДК 021:2015-33600000-6 Фармацевтична продукція (Калію йодид 0,125 табл. №10)</t>
  </si>
  <si>
    <t>Код ДК 021:2015-33600000-6 Фармацевтична продукція (Кислота амінокапронова р-н для інф. 50 мг/мл по 100 мл, Декасан розчин 0,2 мг/мл, по 100мл в пляшках скляних, Лонгокаїн Хеві розчин для ін’єкцій, 5,0 мг/мл, по 5 мл у флаконі; по 5 флаконів у картонній пачці, Еуфілін розчин для ін’єкцій, 20 мг/мл, по 5 мл в ампулі; по 5 ампул у контурній чарунковій упаковці; по 2 контурні чарункові упаковки у пачці, КАЛІЮ ХЛОРИД концентрат для розчину для інфузій, 75 мг/мл, по 10мл у флаконах скляних)</t>
  </si>
  <si>
    <t>Код ДК 021:2015-33600000-6 Фармацевтична продукція (Кислота амінокапронова р-н для інф. 50 мг/мл по 100 мл, біблок р-н для інф., 10мг/мл по 50 мл в пакетах №1, гекотон р-н для інф. по 400 мл, налбуфін р-н для ін. 10 мг/мл по 1 мл амп. №10, орнігіл р-н для інф. 5 мг/мл по 100 мл, реосорбілакт р-н для інф. по 200 мл)</t>
  </si>
  <si>
    <t>Код ДК 021:2015-33600000-6 Фармацевтична продукція (Клексан р-н д/ін. 30000 МО 3 мл №1, Кальцію глюконат стабл. р-н д/ін. 100мг/мл 5 мл №10, Еноксапарин р-н д/ін. 3 мл №1, Глюкоза р-н д/ін. 50 мг/мл 200мл, Гепарин р-н д/ін. 5000 ОД 5 мл №5, Гемотран р-н д/ін. 50 мг/мл 5 мл №10, Бліцеф пор. д/інф. 1 г №10)</t>
  </si>
  <si>
    <t>Код ДК 021:2015-33600000-6 Фармацевтична продукція (Лазолекс, розч. для ін. 7,5 мг/мл по 2 мл в авмпулі; по 5 амп. у пачці з карону, левофлаксацин, розч. для інф. 500 мг/100мл по 150 мл у флаконі, по 1 фл. в пачці з картону)</t>
  </si>
  <si>
    <t>Код ДК 021:2015-33600000-6 Фармацевтична продукція (Натрію хлорид розчин 0,9% р-н д/інф. 0,9%, пляшка 100мл №1, Бліцеф пор. д/р-ну д/інф 1000 мг фл. №10, Лідокаїн -Дарниця р-н д/ін. 20 мг/мл амп. 2 мл, контур. чарунк. уп., пачка №10)</t>
  </si>
  <si>
    <t>Код ДК 021:2015-33600000-6 Фармацевтична продукція (Нітрогліцерин, таблетки сублінгвальні по 0,5 мг №40)</t>
  </si>
  <si>
    <t>Код ДК 021:2015-33600000-6 Фармацевтична продукція (ПКО Дитилін р-н д/ін. 2% 5мл №10)</t>
  </si>
  <si>
    <t>Код ДК 021:2015-33600000-6 Фармацевтична продукція (ПКО фенобарбітал-ЗН табл. 100 мг №50 (обмежений відпуск), ПКО сибазон р-н д/ін. 0,5% 2мл №1 (обмежений відпуск))</t>
  </si>
  <si>
    <t>Код ДК 021:2015-33600000-6 Фармацевтична продукція (Пірацетам-Здоров’я р-н д/ін. 200мг/мл 10 мл №10, Новокаїн р-н д/інф. 0,5% 200 мл, Новокаїн р-н д/ін. 2% 2 мл №10, Мовіпреп пор. №4, Левомеколь мазь 40 г –t, Йоду р-н спирт. 5% 20 мл, Ізіклін конц. д/ор. р-ну 176 мл №2, Гіоксізон мазь 15 г)</t>
  </si>
  <si>
    <t>Код ДК 021:2015-33600000-6 Фармацевтична продукція (Санаксон-1000, порошок для розчину для ін'єкцій, по 1000 мг у флаконі №1, Санаксон-2000, порошок для розчину для ін'єкцій, по 2000 мг у флаконі №1)</t>
  </si>
  <si>
    <t>Код ДК 021:2015-33600000-6 Фармацевтична продукція (Сибазон 0,5% 2,0 )</t>
  </si>
  <si>
    <t>Код ДК 021:2015-33600000-6 Фармацевтична продукція (Сибазон 0,5% 2,0, Кетамін-ЗН 50 мг/мл 2,0, Тіопентал 0,5)</t>
  </si>
  <si>
    <t>Код ДК 021:2015-33600000-6 Фармацевтична продукція (Солу-медрол пор. д/п ін. р-ну 500 мг 7,8 мл №1, Солу-медрол пор. д/п ін. р-ну 40 мг/1мл  №1, Солу-медрол пор. д/п ін. р-ну 125 мг 2 мл №1)</t>
  </si>
  <si>
    <t>Код ДК 021:2015-33600000-6 Фармацевтична продукція (Тизерцин р-н д/ін. 25мг 1 мл №10, Стерофундин ISO р-н д/інф. 500 мл №10, Платифілін р-н д/ін. 2мг/мл 1 мл №10, Плазмовен р-н 500 мл, Перекис водню 3% 200мл полім. фл., Пентоксифілін р-н д/ін. 2% 5 мл №10,  Папаверин-Д р-н д/ін. 2% 2 мл №10, Пантенол аер. 116 г, Новокаїн р-н д/ін. 0,5% 5 мл №10, Мурашиний спирт р-н 50 мл, Лідокаїн р-н д/ін. 10% 2 мл №10, Левомеколь мазь 40 г -t°, Кетолонг р-н д/ін. 3% 1 мл №10, Еуфілін р-н д/ін. 2% 5 мл №10, Димедрол р-н д/ін. 1% 1 мл №10, Аспаркам р-н д/ін. 5 мл №10, Анальгін-Дарниця р-н д/ін. 50% 2 мл №10, Амінокапронова к-та 5% 100 мл, Аміаку р-н 10% 40 мл, Реналган р-н д/ін.5 мл №5, Пірацетам р-н д/н. 20% 5 мл №10, Пантенол плюс крем 30 г, Мікролакс р-н рект. 5 мл №4, Дротаверин-Дарниця р-н д/ін. 2% 2 мл №5, Аміназин р-н 2,5% 2 мл №10)</t>
  </si>
  <si>
    <t>Код ДК 021:2015-33600000-6 Фармацевтична продукція (Туберкулін р-н д/ін. 2ТЕ/доза 0,6 мл (6доз) №1 –t)</t>
  </si>
  <si>
    <t>Код ДК 021:2015-33600000-6 Фармацевтична продукція (Тіаміду хлорид р-н д/ін. 5% 1мл №10, Омепразол ліоф. д/п інф. р-ну 40 мг №1, Омепразол капс. 20 мг №30, Натрію хлорид р-н д/інф. 0,9% 100 мл, Метоклопрамід р-н д/ін. 0,5% 2 мл №10, Лідокаїн р-н д/ін. 2% 2мл №10, Дексаметазон р-н 4мг/мл 1 мл №5-t)</t>
  </si>
  <si>
    <t xml:space="preserve">Код ДК 021:2015-33600000-6 Фармацевтична продукція (Тіопентал 0,5)
</t>
  </si>
  <si>
    <t>Код ДК 021:2015-33600000-6 Фармацевтична продукція (Фрелсі р-н д/ін 2,5мг/05мл шприц №10, клексан р-н д/ін 30000 МО 3мл №1, євроцефтаз пор. д/п ін. р-ну 1000+125 мг№1, дексаметазону фосфат р-н д/ін 0,4% 1мл №10, єврозидим пор. д/п р-ну д/інг. 1г№10)</t>
  </si>
  <si>
    <t>Код ДК 021:2015-33600000-6 Фармацевтична продукція (Фрелсі розчин для ін'єкцій 2,5 мг/0,5 мл по 0,5 мл у шприці №10, Омепразол-Фармак порошок для розчину для інфузій по 40 мг №1, Рафт розчин для ін'єкцій, 4мг/мл по 1ампулі №10)</t>
  </si>
  <si>
    <t>Код ДК 021:2015-33600000-6 Фармацевтична продукція (Фуросемід р-н д/ін. 1% 2 мл №10, Гепацеф пор. д/п ін. р-ну 1 г №10 -t°,Натрію хлорид р-н д/інф. 0,9% 200 мл,  Лідокаїн р-н д/ін. 2% 2 мл №10, Галоперидол р-н д/ін. 5 мг 1 мл №5 (Обмежений відпуск),Бліцеф пор. д/інф. 1 г №10, АТФ р-н д/ін. 1% 1 мл №10 -t°)</t>
  </si>
  <si>
    <t>Код ДК 021:2015-33600000-6 Фармацевтична продукція (Хлоргексидину р-н 0,05% 100 мл)</t>
  </si>
  <si>
    <t>Код ДК 021:2015-33600000-6 Фармацевтична продукція (Цефепім пор. д/р-ну д/ін. 1000 мг №1, Фуросемід р-н д/ін. 1% 2 мл №10, Тіаміну хлорид р-н д/ін. 5% 1 мл №10, Клексан р-н д/ін. 4000 МО шприц 0,4 мл №10, Клексан р-н д/ін. 30000  МО  шприц 3 мл №1, Еноксапарин р-н д/ін. 0,4 г №1, Омепразол капс. 0,02 №30)</t>
  </si>
  <si>
    <t>Код ДК 021:2015-33600000-6 Фармацевтична продукція (Цефопектам пор. д/ін. 1г/1г №1, Фармасулін Н р-н д/ін. 100МО/мл 10 мл №1 –t, Спиртол р-н 70% 100 мл,  Спиртол р-н 96% 100 мл, Адреналіну г/т 0,18% 1 мл №10 –t)</t>
  </si>
  <si>
    <t>Код ДК 021:2015-33600000-6 Фармацевтична продукція (Ціанокобаламін р-н д/ін. 0,05% 1мл №10 , Ципрофлоксацин – Новофарм р-н д/інф. 0,2% 100 мл, Фромілід табл.500 мг №14, Фармадипін кр. 5 мл, Тріттіко табл. 75 мг №30, Трисоль р-н д/інф. 400 мл, Трисоль р-н д/інф. 200 мл, Торасемід - Сандоз табл. 20 мг №100, Тіотриазолін р-н д/ін. 2,5%  2 мл №10, Тетрациклін табл. 0,1 №20, Супрастин р-н д/ін. 20 мг 1 мл №5, Сульпірид - ЗН табл. 50 мг №30, Стерофундин ISO р-н д/інф. 500 мл №10, Стерофундин ISO р-н д/інф. 1000 мл №10, Спазмалгон р-н д/ін. 5 мл №5, Спазмалгон р-н д/ін. 5 мл №10, Синтоміцину лінімент 5% 25г –t, Роваміцин табл. 3,0 млн №10, Роваміцин табл. 1,5 млн №16, Рисперон табл. 2 мг №30, Рибоксин р-н д/ін. 2% 5 мл №10, Полідекса с фенилефрином спрей наз. 15 мл, Полідекса кр.вушні 10,5 мл, Платифілін р-н д/ін. 2мг/мл 1 мл №10, Піридоксину г/х р-н 5% 1 мл №10, Перекис водню р-н 3% 40 мл, Пароксин табл. 20 мг №30, Папаверин-Д р-н д/ін. 2% 2 мл №10, Пантопразол-Тева табл. 40 мг №28, Пангастро пор. 40 мг №5, Но-шпа р-н д/ін. 40 мг 2 мл №25, Нормагут капс. №10, Новокаїн р-н д/ін. 0,5% 5 мл №10, Ніфуроксазид табл. 100 мг №30, Ніфуроксазид капс. 200 мг №20, Нікотинова к-та р-н д/ін. 1% 1 мл №10, Муцитус капс. 300 мг №12, Мурашиний спирт р-н 50 мл, Мікролакс р-н рект. 5 мл №4, Мезатон 1% 1 мл №10, Лоперамід-КМП табл. 2 мг №20, Лідокаїн р-н д/ін. 10% 2 мл №10, Лідокаїн аер. 10% 38 г, Кофеїн-бензоат натрію р-н д/ін. 20% 1 мл №10, Кордіамін р-н д/ін. 25% 2 мл №10, Кордарон табл. 200 мг №30, Корвалмент капс. 0,1 г №30, Кетолонг р-н д/ін. 3% 1 мл №10, Кветирон табл. 25 мг №30, Йод-Вішфа р-н спирт. 5% 20 мл, Еспумізан L емул. 40мг/мл 30 мл, Ентерол капс. 250 мг №10, Еголанза табл. 10 мг №28, Дротаверин-Дарниця р-н д/ін. 2% 2 мл №5, Діоксидин р-н д/ін. 1% 10 мл №10, Диклофенак натрію р-н д/ін. 2,5% 3 мл №10, Далацин Ц фосфат р-н д/ін. 600 мг 4 мл №1, Гіоксізон мазь 15 г, Гідрокортизон р-н д/ін. 2,5% 2 мл №10, Гідазепам ІС табл. 0,02 №20, Гіацинтія табл. 10 мг №30, Вікасол-Д р-н д/ін. 1% 1 мл №10-t°, Верапаміл р-н д/ін. 0,25% 2 мл №10, Венлаксор табл. 75 мг №30, Валідол-Дарниця табл. 0,06 г №10 -t°, Бускопан р-н д/ін. 20мг/мл 1 мл №5, Біцилін-5 пор. д/п ін. р-ну 1,5млн. ОД №1, Бісопролол - КВ табл. 5 мг №30, Бензогексоній р-н д/ін. 2,5% 1 мл №10, Барбовал 25 мл, Аспаркам р-н д/ін. 5 мл №10, Аріпразол табл. 10 мг №30, Аргітек р-н д/інф. 8мг/мл 250 мл, Амітриптиліну г/х р-н д/ін. 10мг/мл 2 мл №10 (Обмежений відпуск), Аміназин р-н 2,5% 2 мл №10, Аміаку р-н 10% 100 мл, Алмірал р-н д/ін. 75 мг 3 мл №10, L-лізину есцинат р-н д/ін. 0,1% 5 мл №10, Торасемід р-н д/ін. 5мг/мл амп. 4 мл №5, Міртазапін Сандоз табл. 30 мг №20, Верошпірон капс. 50 мг №30, Беноксі кр.очні 0.4% 10 мл, Ципрофлоксацин - Новофарм р-н д/інф. 0,2% 100 мл, Називін кр.наз. 0,05% 10 мл)</t>
  </si>
  <si>
    <t>Код ДК 021:2015-33600000-6 Фармацевтична продукція (анальгін-Дарниця, розч. для ін. 500 мг/мл по 2мл в ампулі №10, димедрол, розч. для ін. по 1 мл в амп. №10, диклофенак-Дарниця, розч. для ін., 25мг/мл по 3 мл в амп. №10, алмірал 75 мг/3мл №10 амп., платифілін-Дарниця, розч.для ін. 2 мг/мл по 1мл в амп. №10, нітрогліцерин, табл. сублінгвінальні по 0,5 мг №40, фуросемід-Дарниця, розч. для ін., 10 мг/мл по 2 мл в амп. №10)</t>
  </si>
  <si>
    <t>Код ДК 021:2015-33600000-6 Фармацевтична продукція (бетайод р-н 10% 1000 мл)</t>
  </si>
  <si>
    <t>Код ДК 021:2015-33600000-6 Фармацевтична продукція (галоперидол р-н д/ін. 5 мг 1мл №5)</t>
  </si>
  <si>
    <t>Код ДК 021:2015-33600000-6 Фармацевтична продукція (гемаксам, р-н для ін. 50мг/мл по 10 мл в ампулі, по10 ампул в пачці з картону, гемаксам, р-н для ін. 50мг/мл по 5 мл в ампулі, по 50 ампул в пачці з картону)</t>
  </si>
  <si>
    <t>Код ДК 021:2015-33600000-6 Фармацевтична продукція (гідазепам ІС табл., 0,05 №10, гідазепам ІС табл., 0,02 №20)</t>
  </si>
  <si>
    <t>Код ДК 021:2015-33600000-6 Фармацевтична продукція (дитилін 20 мг/мл 5,0 №10)</t>
  </si>
  <si>
    <t>Код ДК 021:2015-33600000-6 Фармацевтична продукція (медоклав пор. д/п ін. р-ну фл. 1,2 г №10)</t>
  </si>
  <si>
    <t>Код ДК 021:2015-33600000-6 Фармацевтична продукція (морфін г/х 1% 1,0)</t>
  </si>
  <si>
    <t>Код ДК 021:2015-33600000-6 Фармацевтична продукція (натрію хлорид, розчин для інфузій 9мг/мл по 200 мл у пляшках)</t>
  </si>
  <si>
    <t>Код ДК 021:2015-33600000-6 Фармацевтична продукція (регідрон-Оптім пор. д/орал. р-ну 10,7 г №20, аритміл р-н д/ін. 50мг/мл №5, ондансетрон р-н д/ін 2мг/мл 4мл №5, ондасетрон р-н д/ін 2мг/мл 2 мл№5, омепразол ліоф. д/п інф. р-ну 40мг№1, натрію хлорид р-н д/інф. 0,9% 100 мл, метоклопрамід р-н д/ін. 0,5% 2 мл №10, медаксон пор. 1 г №10, лідокаїн р-н д/ін. 2% 2 мл №10, доксициклін г/х капс. 0,1 г №10, гепацеф пор. д/п ін. р-ну 1г №10, АТФ 1% 1мл №10 амп., амоксиклав пор. д/п р-ну 1200 мг №5, азитроміцин-Здоров'я капс. 500 мг №3)</t>
  </si>
  <si>
    <t xml:space="preserve">Код ДК 021:2015-33600000-6 Фармацевтична продукція (фентаніл 0,05 мг/мл 2,0) </t>
  </si>
  <si>
    <t>Код ДК 021:2015-33600000-6 Фармацевтична продукція (фентаніл 0,05мг/мл 2,0)</t>
  </si>
  <si>
    <t>Код ДК 021:2015-33600000-6 Фармацевтична продукція (флуканазол р-н д/ін. 200мг/100мл фл. 100мл)</t>
  </si>
  <si>
    <t>Код ДК 021:2015-33600000-6 Фармацевтична продукція (фуросемід р-н д/ін. 1% 2 мл №10, ібупрофен Д табл. 0,2г, адреналіну г/т 0,18% 1  мл №10)</t>
  </si>
  <si>
    <t>Код ДК 021:2015-33600000-6 Фармацевтична продукція( Атропін-Дарниця р-н д/ін. 1мг/мл 1мл №10)</t>
  </si>
  <si>
    <t>Код ДК 021:2015-33600000-6 Фармацевтична продукція(ІНФУЛГАН, розчин для інфузій 10мг/мл; по 100 мл в пляшці; по 1 пляшці в пачці з картону, Магнію сульфат розчин для ін'єкцій 250 мг/мл по 5 мл в ампулі №10, Натрію хлорид, розчин для інфузій 9 мг/мл по 200 мл у пляшках, Розчин Рінгера розчин для інфузій по 200 мл, САНГЕРА, розчин для ін'єкцій, 100 мг/мл по 5 мл в ампулі №5)</t>
  </si>
  <si>
    <t>Код ДК 021:2015-33600000-6 Фармацевтична продукція(Азалептол табл. 25 мг контейнер №50, Адажио табл. в/плівк. обол. 10 мг блістер №30, Аміодарон-Дарниця табл. 200 мг контурн. чарунк. уп., в пачці №30, Амітриптилін табл. в/о 25 мг блістер №50, Актовегін р-н д/ін. 40мг/мл 200мг амп. 5мл №5, Альбендазол табл. жув. 400 мг блістер №3, Аспаркам р-н д/ін. амп. 5 мл, блістер у пачці №10, Аерофілін табл. 400мг №20, Аргітек р-н д/інф. 8 мг/мл фл. 250 мл №1, Арипразол табл. 10 мг блістер №60, Бетадин р-н д/зовн. та місц. застос. 10 % фл. з крапельн. 120 мл №1, Бетадин р-н д/зовн. та місц. застос. 10 % фл. з крапельн. 1000 мл №1, Вальпроком 300 Хроно табл. пролонг. в/плівк. обол. 300 мг блістер, в пачці №100, Венлафаксин-ЗН табл. 75 мг блістер №30, Герпевір табл. 400 мг блістер №10, Гіацинтія табл. в/плівк. обол. 10 мг блістер у пачці №30, Гіоксизон мазь туба 15 г №1, Гідазепам ІС® табл. 0,02 г блістер №20, Глюкоза р-н д/ін. 40 % амп. 10 мл №10, Діаліпон р-н д/інф. 3 % амп. 20 мл, блістер у пачці №5, Доксепін-ЗН капс. тверд. 25 мг блістер №30, Диклофенак натрію  р-н д/ін. 2,5 % амп. 3 мл, блістер №10, Дибазол-Дарниця р-н д/ін. 10 мг/мл амп. 1 мл, контурн. чарунк. yп., пачка №10, Дибазол-Дарниця р-н д/ін. 10 мг/мл амп. 5 мл, контурн. чарунк. yп., пачка №10, Дротаверин-Дарниця р-н д/ін. 20 мг/мл амп. 2 мл, контурн. чарунк. yп., пачка №5, Ентеросгель паста д/перорал. застос. пакет 15 г №15, Еголанза табл. в/плівк. обол. 10 мг блістер №28, Йоддицерин р-н нашкірний фл. 25 мл №1, Каптопрес-Дарниця табл. контурн. чарунк. уп. №20, Кветирон 25 табл. в/плівк. обол. 25 мг №30, Кветирон 100 табл. в/плівк. обол. 100 мг №30, Клопіксол-Акуфаз р-н д/ін. 50 мг/мл амп. 1 мл №10, Корвалмент капс. м'які 0,1 г блістер №30, Лактулоза сироп 670 мг/мл банка 200 мл, з мірн. стаканчиком №1, Лідаза-Біофарма пор. д/р-ну д/ін. 64 ОД фл., блістер у пачці №10, Левомеколь мазь туба 40 г №1, Лідокаїн-Здоров'я  спрей д/місцев. застос. 10 % фл. 38 г, з насадк.-розп. №1, Бальзамічний Лінімент (За Вишневським) лінімент туба 40 г №1, Меверин капс. 200 мг блістер, в пачці №30, Мікролакс р-н рект. туба 5мл №4, Міасер табл. в/плівк. обол. 30 мг блістер №20, Міртазапін Сандоз табл. 30мг №20, Натрію тіосульфат-Дарниця р-н д/ін. 300 мг/мл амп. 5 мл, контурн. чарунк. yп., пачка №10, Ніфуроксазид табл. в/плівк. обол. 200 мг блістер у пачці №20, Новокаїн-Дарниця р-н д/ін. 20 мг/мл амп. 2 мл, контурн. чарунк. yп., пачка №10, Нормагут капс. блістер №10, Пантопразол-Гетеро табл. гастрорезист. 40 мг блістер №30, Пантенол мазь 50 мг/г туба 30 г №1, Пантенол аерозоль піна нашкірна контейнер 116 г №1, Папаверин-Дарниця р-н д/ін. 20 мг/мл амп. 2 мл, контурн. чарунк. yп., пачка №10, Платифілін-Дарниця р-н д/ін. 2 мг/мл амп. 1 мл, контурн. чарунк. yп., пачка №10, Пентоксифілін-Дарниця р-н д/ін. 20 мг/мл амп. 5 мл, контурн. чарунк. yп., пачка №10, Перметрин р-н нашкірний 0,5% фл. 50мл №1, Прегабалін-Дарниця капс. 75 мг контурн. чарунк. уп. №14, Полідекса з фенілефріном спрей д/носу фл. 15мл №1, Полідекса кр. вуш. 10,5мл №1, Рибоксин р-н д/ін. 20 мг/мл амп. 5 мл, пачка №10, Синтоміцин лінімент 5 % туба 25 г №1, Солерон 200  табл. 200 мг блістер №60, Сульпірид-ЗН р-н д/ін. 50мг/мл амп. 2мл №10, Сульпірид-ЗН табл. 50мг №30, Триттіко табл. пролонг. дії 75 мг блістер №30, Тизерцин табл. в/о 25 мг фл. №50, Тизерцин р-н д/ін. 25 мг амп. 1 мл №10, Урсохол капс. 250 мг контурн. чарунк. уп. №100, Фармасулін® H р-н д/ін. 100 МО/мл фл. 10 мл №1, Фромілід табл. в/плівк. обол. 500 мг блістер №14, Хлоргексидин р-н д/зовн. застос. 0,05 % фл. з кришкою-крапельницею 100 мл №1, Беноксі крап. оч. 0,4 % контейнер-крапельн. 10 мл №1, Алмірал р-н д/ін. 75 мг амп. 3 мл №5, Бускопан р-н д/ін 20мг амп 1мл №5, Диклодев р-н д/ін. 25 мг/мл амп. 3 мл №5, Ентерол капс. 250мг N10, Ізіклін конц. д/орал. р-ну пляшка 176 мл №2, Кордіамін-Здоров'я р-н д/ін. 250 мг/мл амп. 2 мл, коробка №10, Муцитус капс. 300мг №12, Рефордез-Новофарм р-н д/інф. 60 мг/мл пляшка 400 мл №1, Тіотриазолін р-н д/ін. 25 мг/мл амп. 2 мл №10, Фурацилін табл. д/п р-ну д/зовн. застос. 20 мг блістер №20)</t>
  </si>
  <si>
    <t>Код ДК 021:2015-33600000-6 Фармацевтична продукція(Амоксил-К пор. д/п ін. р-ну 1,2 г фл. №1, Вомікайнд р-н д/ін. 2 мг/мл амп. 4 мл №4, Тіаміну хлорид-Дарниця(вітамін В1-Дарниця) р-н д/ін. 50 мг/мл амп. 1 мл, контурн. чарунк. уп., пачка №10, Галоперидол-Ріхтер р-н д/ін. 5 мг амп. 1 мл №5, Фленокс р-н л/ін. 4000 анти-Ха МО шприц 0,4 мл, блістер №10, Лідокаїн-Дарниця р-н д/ін. 20 мг/мл амп. 2 мл, контурн. чарунк. уп., пачка №10, Фрелсі р-н д/ін. 2,5 мг/0,5 мл шприц, у блістері 0,5 мл №10, Метоклопрамід-Дарниця р-н д/ін. 5 мг/мл амп. 2 мл, контурн. чарунк. уп., пачка №10, Натрію хлориду розчин ізотонічний 0,9% Б.Браун р-н д/інф. 0,9% фл, 100 мл №20, Санаксон-2000 пор. д/р-ну д/ін. 2г фл №1)</t>
  </si>
  <si>
    <t>Код ДК 021:2015-33600000-6 Фармацевтична продукція(Атракуріум 10 мг/мл 5,0 №5)</t>
  </si>
  <si>
    <t>Код ДК 021:2015-33600000-6 Фармацевтична продукція(Атракуріум 10мг/мл 5,0 №5, Пропофол-ново емул. д/ін. 10мг/мл 20,0 №5, Сибазон 0,5% 2,0, Фентаніл 0,05 мг/мл 2,0)</t>
  </si>
  <si>
    <t>Код ДК 021:2015-33600000-6 Фармацевтична продукція(Бліцеф пор. д/інф. 1 г №10)</t>
  </si>
  <si>
    <t>Код ДК 021:2015-33600000-6 Фармацевтична продукція(Бліцеф пор. д/інф. 1г №10)</t>
  </si>
  <si>
    <t>Код ДК 021:2015-33600000-6 Фармацевтична продукція(Вомікайнд р-н д/ін. 2 мг/мл 4 мл №4, Вомікайнд р-н д/ін. 2 мг/мл 2 мл №4)</t>
  </si>
  <si>
    <t>Код ДК 021:2015-33600000-6 Фармацевтична продукція(ГЛЮКОЗА,  розчин для інфузій, 50 мг/мл; по 200 мл у пляшках скляних, ІНФУЛГАН, розчин для інфузій 10 мг/мл; по 100 мл в пляшці; по 1 пляшці в пачці з картону)</t>
  </si>
  <si>
    <t>Код ДК 021:2015-33600000-6 Фармацевтична продукція(ГЛЮКОЗА, розчин для інфузій, 50 мг/мл; по 200 мл у пляшках скляних, ІНФУЛГАН, розчин для інфузій 10 мг/мл; по 100 мл в пляшці; по 1 пляшці в пачці з картону, Метронідазол розчин для інфузій 5 мг/мл по 100 мл, Натрію хлорид, розчин для інфузій 9 мг/мл по 200 мл у пляшках)</t>
  </si>
  <si>
    <t>Код ДК 021:2015-33600000-6 Фармацевтична продукція(Глюкоза, розчин для інфузій, 50 мг/мл; по 200 мл у пляшках скляних, Розчин Рінгер-лактатний розчин для інфузій по 200 мл, Сангера, розчин для ін'єкцій, 100 мг/мл по 5 мл в ампулі №5)</t>
  </si>
  <si>
    <t>Код ДК 021:2015-33600000-6 Фармацевтична продукція(Дофамін конц. д/інф. 4% амп. 5 мл №10)</t>
  </si>
  <si>
    <t>Код ДК 021:2015-33600000-6 Фармацевтична продукція(Кальцію глюконат-Дарниця р-н д/ін. 10% 5 мл №10, Дексаметазону фосфат р-н д/ін. 0,4% 1 мл №10, АТФ р-н д/ін. 1% 1 мл №10)</t>
  </si>
  <si>
    <t>Код ДК 021:2015-33600000-6 Фармацевтична продукція(Кейдекс Ін'єкт, р-н 25 мг/мл 2 мл №5)</t>
  </si>
  <si>
    <t>Код ДК 021:2015-33600000-6 Фармацевтична продукція(ЛАЗОЛЕКС, розчин для ін'єкцій, 7,5 мг/мл, по 2 мл в ампулі; по 5 ампул у пачці з картону)</t>
  </si>
  <si>
    <t>Код ДК 021:2015-33600000-6 Фармацевтична продукція(Лаксерс, порошок для розчину для ін'єкцій по 1000мг/1000мг, по 10 флаконів з порошком у пачці з картону)</t>
  </si>
  <si>
    <t>Код ДК 021:2015-33600000-6 Фармацевтична продукція(Метоклопрамід р-н д/ін. 0,5% 2мл №10)</t>
  </si>
  <si>
    <t>Код ДК 021:2015-33600000-6 Фармацевтична продукція(Натрію хлорид р-н д/інф. 0,9% 100 мл, Натрію хлорид р-н д/інф. 0,9% 100 мл, Муколван р-н д/ін. 0,75% 2 мл №5, Магнію сульфат р-н д/ін. 25% 5 мл №10, Дексаметазону фосфат р-н д/ін. 0,4% 1 мл №10, Вомікайнд р-н д/ін. 2мг/мл 4мл №4, АТФ 1% 1мл №10 амп., Амоксил-К пор. д/п ін. р-ну 1,2 г №1, Адреналіну г/т 0,18% 1мл №10, Адреналіну г/т 0,18% 1мл №10, Бліцеф пор. д/інф. 1г №10)</t>
  </si>
  <si>
    <t>Код ДК 021:2015-33600000-6 Фармацевтична продукція(Натрію хлорид р-н інф. 0,9% контейнер пвх 100 мл №1)</t>
  </si>
  <si>
    <t>Код ДК 021:2015-33600000-6 Фармацевтична продукція(Нексаар р-н д/ін. 100 мг/мл 5 мл №4)</t>
  </si>
  <si>
    <t>Код ДК 021:2015-33600000-6 Фармацевтична продукція(Новопарин розчин для ін'єкцій 4000 анти-Ха МО по 0,4 мл у шприці №10, Натрію хлорид, розчин для інфузій 9 мг/мл по 200 мл у пляшках, Розчин Рінгера розчин для інфузій по 200 мл)</t>
  </si>
  <si>
    <t>Код ДК 021:2015-33600000-6 Фармацевтична продукція(Преднізолон р-н д/ін. 30 мг 1 мл №5, Метронідазол р-н д/інф. 0,5% 100 мл, Лідокаїн р-н д/ін. 2% мл №10)</t>
  </si>
  <si>
    <t>Код ДК 021:2015-33600000-6 Фармацевтична продукція(Розчин Рінгер-лактатний розчин для інфузій по 200 мл, Розчин Рінгера розчин для інфузій по 200 мл, Глюкоза розчин для інфузій 50 мг/мл по 200 мл)</t>
  </si>
  <si>
    <t>Код ДК 021:2015-33600000-6 Фармацевтична продукція(Сальбутамол аер. 100 мкг/200доз 10 мл, Преднізолон р-н д/ін. 30мг 1 мл №5, Кальцію глюконат р-н д/ін. 10% 5 мл №10, Бісептол табл. 480 мг №20, Азитроміцин  капс. 500 мг №3)</t>
  </si>
  <si>
    <t>Код ДК 021:2015-33600000-6 Фармацевтична продукція(Солу-медрол пор. д/п ін. р-ну 1000 мг №1)</t>
  </si>
  <si>
    <t>Код ДК 021:2015-33600000-6 Фармацевтична продукція(Сорбілакт р-н 200мл, Рифампіцин капс. 0,15 №20, Піразинамід табл. 500 мг №50, Ізоніазид табл.  0,3 г №50, Гліцерин р-н 25 мл, Етамбутол табл. 400 мг №50, Мелоксикам-КВ табл. 7,5 мг №20, Нуклео ЦМФ форте капс. №30, Альбувен р-р д/інф. 10% 100 мл)</t>
  </si>
  <si>
    <t>Код ДК 021:2015-33600000-6 Фармацевтична продукція(Сульбактомакс пор. д/ін. 1500 мг №1)</t>
  </si>
  <si>
    <t>Код ДК 021:2015-33600000-6 Фармацевтична продукція(Сульбактомакс пор. д/ін. 1500 мг №1, Преднізолон  р-н д/ін. 30 мг 1 мл №5, Омепразол 20 Ананта капс. 20 мг №100, Метресса р-н д/ін. 500 мг/100 мл №1, Кордарон р-н д/ін. 3 мл №6, Еноксапарин р-н д/ін. 0,4 г №1, Вомікайнд р-н д/ін. 2 мг/мл 4 мл №4)</t>
  </si>
  <si>
    <t>Код ДК 021:2015-33600000-6 Фармацевтична продукція(Тіаміну хлорид р-н д/ін. 5% 1 мл №10)</t>
  </si>
  <si>
    <t>Код ДК 021:2015-33600000-6 Фармацевтична продукція(Фрелсі р-н д/ін. 2,5мг/0,5мл шприц №10,Дексаметазону фосфат р-н д/ін. 0,4% 1 мл №10)</t>
  </si>
  <si>
    <t>Код ДК 021:2015-33600000-6 Фармацевтична продукція(Фуросемід-Дарниця р-н д/ін. 10 мг/мл амп. 2 мл, контурн. чарунк. уп., пачка №10, Омепразол-Фармак пор. д/р-ну д/інф. 40 мг фл. №1, Омепразол-Дарниця капс. 20 мг контурн. чарунк. уп., в пачці №30, Метронідазол-Дарниця р-н д/інф. 5 мг/мл фл. 100 мл №1, Метрогіл р-н д/інф. 500 мг фл. 100 мл №1)</t>
  </si>
  <si>
    <t>Код ДК 021:2015-33600000-6 Фармацевтична продукція(Цефтриаксон-Віста, порошок для розчину для ін'єкцій 1 г у флаконах, Бупірол, розчин для інфузій, 4 мг/мл по 100 мл у контейнері в захисному пакеті)</t>
  </si>
  <si>
    <t>Код ДК 021:2015-33600000-6 Фармацевтична продукція(Цефтриаксон-віста, порошок для розчину для ін'єкцій 1 г у флаконах, Бупірол, розчин для інфузій, 4 мг/мл по 100 мл у контейнері в захисному пакеті)</t>
  </si>
  <si>
    <t>Код ДК 021:2015-33630000-5 Лікарські засоби для лікування дерматологічних захворювань та захворювань опорно-рухового апарату (33631600-8 - Антисептичні та дезінфекційні засоби (засіб дезінфекційний  "БактеріоДез софт" К/5000 мл)</t>
  </si>
  <si>
    <t>Код ДК 021:2015-33630000-5 Лікарські засоби для лікування дерматологічних захворювань та захворювань опорно-рухового апарату (33631600-8 - Антисептичні та дезінфекційні засоби (засіб дезінфекційний "БактеріоДез софт" К/5000 мл)</t>
  </si>
  <si>
    <t>Код ДК 021:2015-33630000-5 Лікарські засоби для лікування дерматологічних захворювань та захворювань опорно-рухового апарату (33631600-8 Антисептичні та дезінфекційні засоби (дезінфікуючий засіб "Дезовір" (DEZOVIR). 5л))</t>
  </si>
  <si>
    <t>Код ДК 021:2015-33630000-5 Лікарські засоби для лікування дерматологічних захворювань та захворювань опорно-рухового апарату (Код ДК 021:2015-33631600-8 - Антисептичні та дезінфекційні засоби (засіб дезінфекційний "КвікДес" (вологі серветки) 100шт з клапаном, засіб дезінфекційний "БактеріоДез нью" 5л, засіб дезінфекційний "БактеріоДез квік" к/5л,засіб дезінфекційний "БактеріоДез квік" 950 мл з розпилювачем)</t>
  </si>
  <si>
    <t>Код ДК 021:2015-33630000-5 Лікарські засоби для лікування дерматологічних захворювань та захворювань опорно-рухового апарату (Код ДК 021:2015-33631600-8 - Антисептичні та дезінфекційні засоби (засіб дезінфекційний "КвікДес" (вологі серветки) 100шт з клапаном, засіб дезінфекційний "БактеріоДез нью" 5л, засіб дезінфекційний "БактеріоДез нью" к/5л)</t>
  </si>
  <si>
    <t>Код ДК 021:2015-33690000-3 Лікарські засоби різні ((Аланінамінотрансфераза, Аспартатамінотрасфераза, Холестерин загальний, Загальний білок, Сечовина, α-Амілаза, Білірубін Загальний, Білірубин Прямий, Креатинін – SOX, Сечова кислота, Альбумін, C-реактивний білок, Глюкоза, Калібратор СРБ, Калібратор ліпіди, APOA1; APOB; HDLC; LDLC, Феритин, Мультикалібратор, Мультіконтроль ClinChem (level 1), Очищуючий розчин CD-80, Холестерин високої щільності, Холестерин низької щільності, Тригліцериди, Смужки діагностичні для аналізатора сечі на 11 параметрів, 11G, 100 шт/упак, Реагент-пак ST-200 CC Reagent Pack - ABGEM (800ml+200ml+500ml)+1(Glu/Lac) Electrode- ABGEM для  Аналізатора газів крові та електролітів ST-200 CC Blood Gas Analyzer – ABGEM, Контролі газів Sensa Stat Blood Gas Controls (TriLevel) – ABGEM  для  Аналізатора газів крові та електролітів ST-200 CC Blood Gas Analyzer – ABGEM, Миючий розчин Sensa Daily Cleaning Solution – ABGEM  для  Аналізатора газів крові та електролітів ST-200 CC Blood Gas Analyzer – ABGEM, F1006 Експрес-тест D-Dimer Fast Test Kit (Immunofluorescence Assay), 25 шт./уп., IF1007 Експрес-тест PCT Fast Test Kit(Immunofluorescence Assay), 25 шт./уп., IF1001 Експрес-тест Cardiac Troponin I (імунофлуоресценція), 25 шт/уп., IF1013 Експрес-тест HCG+β, хоріонічний гонадотропін  (імунофлуоресценція), 25 шт/уп., IF1050 Експрес-тест AFP, альфафетопротеїн  (імунофлуоресценція), 25 шт/уп., IF1042 Експрес-тест FOB, прихована кров в калі (імунофлуоресценція), 25 шт/уп., IF1031 Експрес-тест 25-OH-VD, вітамін Д (імунофлуоресценція), 25 шт/уп., DIA-SARS-CoV-2-NP-IgМ  Тест-система імуноферментна, DIA-SARS-CoV-2-NP-IgG Тест-система імуноферментна)</t>
  </si>
  <si>
    <t>Код ДК 021:2015-33690000-3 Лікарські засоби різні (Neo Diluent C (*ізотонічний розчин Нео Ділюент C 20 L), Neo Lyse C (*лізуючий розчин Нео Лайз C 1 L), Neo Detergent C (*миючий розчин Нео Детергент C 20 L), Реагент Bio-Ksel System PT plus 5 x 8 ml / Біо-Ксель плюс протромбіновий час (ПЧ))</t>
  </si>
  <si>
    <t>Код ДК 021:2015-33690000-3 Лікарські засоби різні (Анти-А, моноклональний реагент, Анти-В, моноклональний реагент, Anti-D, monoclonal)</t>
  </si>
  <si>
    <t>Код ДК 021:2015-33690000-3 Лікарські засоби різні (Ділюент 3Діф НЗ 20л, Neo Lyse C (лізуючий розчин Нео Лайз С 1 L), Neo Cleaner 100 (миючий розчин Нео Клінер 100 100ml))</t>
  </si>
  <si>
    <t>Код ДК 021:2015-33690000-3 Лікарські засоби різні (Сольовий агар, Середовище Левіна, Вісмут-Сульфіт агар, Поживний агар, Агар Мюллер-Хінтон, Сабуро агар з глюкозою, Середовище Олькініцкого,  Селенітовий бульйон (Лейфсона), Тіогліколеве середовище, Пептон лужний,  Агар лужний, Цитральний агар Сіммонса,  Магнієве середовище, Бульйон поживний Сабуро, Агар ацетатний, Фенілаланін агар, Сироватка кінська нормальна для батеріологічних поживних середовищ, Телурит калію-набір для використання розчину телуриту калію як допоміжного реактиву у якості інгібітору (REF ПС020.01), РФ - латекс тест, СРБ - латекс тест, АСЛ-О латекс тест, Забарвлення за грамом-набір для диференціального забарвлення, дослідження структури клітинної стінки і виявлення приналежності бактерій до грампозитивних, або грамнегативних груп з карболовим розчином фуксина Ціля (REF HP030.01), Маніт, Глюкоза, Натрій хлористий, набір реагентів "Масло імерсійне", Гліцерин, бут. 1,26 кг, Кислота сульфасаліцилова, Бензидин,  Ентеро тест 24, Стрепто тест 24, Термоіндикатори хімічні110 (100шт/уп), Термоіндикатори хімічні120 (100шт/уп), Термоіндикатори хімічні 132 (100шт/уп), Термоіндикатори хімічні160 (100шт/уп), Універсальний папір рН 0-12, Сечові смужки LabAnalyt 11G, Агар Ендо,  Диски для визначення чутливості мікроорганізмів до лікарських засобів-Ампіцилін АМП 10 мк, Диски для визначення чутливості мікроорганізмів до лікарських засобів-Бензилпеніцилін (Пеніцилін G)БЕН 10 ОД, Диски для визначення чутливості мікроорганізмів до лікарських засобів-Амоксицилін/клавуланова кислота для стафілококів (Амоксиклав) АМО 20/10, Диски для визначення чутливості мікроорганізмів до лікарських засобів-Цефокситин ЦФО 30 мкг, Диски для визначення чутливості мікроорганізмів до лікарських засобів-Цефепін ЦФП 30 мкг, Диски для визначення чутливості мікроорганізмів до лікарських засобів-Цефтазидим ЦФЗ 30 мкг, Диски для визначення чутливості мікроорганізмів до лікарських засобів-Еритроміцин ЕРТ 15 мкг, Диски для визначення чутливості мікроорганізмів до лікарських засобів-Меропенем МЕР 10 мкг, Диски для визначення чутливості мікроорганізмів до лікарських засобів-Ванкоміцин ВАН 30 мкг, Диски для визначення чутливості мікроорганізмів до лікарських засобів-Лінкоміцин ЛНК 15 мкг, Диски для визначення чутливості мікроорганізмів до лікарських засобів-Норфлоксацин НОР 10 мкг, Диски для визначення чутливості мікроорганізмів до лікарських засобів-Моксифлоксацин МОК 5мкг, Диски для визначення чутливості мікроорганізмів до лікарських засобів-Офлоксацин ОФЛ 5мкг, Диски для визначення чутливості мікроорганізмів до лікарських засобів-Гентаміцин ГЕТ 10мкг, Диски для визначення чутливості мікроорганізмів до лікарських засобів-Нітрофурантоїн (Фурадонін) НФР 300мкг, Диски для визначення чутливості мікроорганізмів до лікарських засобів-Флуконазол ФЛУ 25мкг, Диски з бацитрацином 0,04 ОД ( DD015), Диски індикаторні з ПЛЗ оксациліном 10 мкг, 100 визначень (Di 132-100),  Диски для визначення чутливості мікроорганізмів до лікарських засобів-Фуразизин (Фурагін) ФУР 300мкг ), S-S-агар, Фенолфталеїн (50г/уп), Аланін солянокислий, чда)</t>
  </si>
  <si>
    <t>Код ДК 021:2015-33690000-3 Лікарські засоби різні (код НК 024:2019 -53707 С-реактивний білок (СРБ) IVD, реагент (105-000841-00 С-реактивний білок (1*40 мл+1*10 мл), НК 024:2019-53251- Креатинін IVD, набір, спектрофотометричний аналіз" (105-004614-00 Креатинін (2*27 мл+1*18 мл), НК 024:2019-59058- Миючий/очищуючий розчин ІВД для автоматизованих/полуавтоматизованих систем (105-000748-00 Очищуючий розчин (CD80),1л), НК 024:2019-47343-D-димер IVD, набір, імунохроматографічний тест (ІХТ),(IF1006 Експрес-тест D-Dimer Fast Test Kit (Immunoflurescence Fssay),25 шт/уп, НК 024:2019-54316-Прокальцитонін IVD, реагент (IF 1007 Експрес-тест РСТ Fast Test Kit (Immunoflurescence Fssay),25 шт/уп), НК 024:2019-54514-Тест-смужки діагностичні для аналізу сечі, числені аналізи сечі IVD, набір, колориметрична тест-смужка, експрес-аналіз (U-11 Тестові смужки, уп 100шт))</t>
  </si>
  <si>
    <t>Код ДК 021:2015-33690000-3 Лікарські засоби різні (набір реагентів "Масло імерсійне", сечові смужки LabAnalyt 11G, Азур-Еозин по Романовському з буфером, RPR-carbon-тест 100)</t>
  </si>
  <si>
    <t>Код ДК 021:2015-33690000-3 Лікарські засоби різні(Ділюент 3 Діф Н3, 20 л, Лайз 3 Діф Н3,0.5 л, Рінз 3 Діф Н3, 20л)</t>
  </si>
  <si>
    <t>Код ДК 021:2015-33690000-3 Лікарські засоби різні(Ділюент 3 Діф Н3, 20л, Лайз 3 Діф Н3, 0.5, Рінз 3 Діф Н3, 20 л, Проб Клінер 3 Діф Н3, 0.1 л, Контрольний матеріал СВС-3D. 2 мл, нормальний, Реагент Bio-Ksel System PT plus 5x8 ml/ Біо-Ксель плюс протромбіновий час (ПЧ), GLUCOSE SL (* Глюкоза CP R1: 1х500мл), Тестові кювети(500шт))</t>
  </si>
  <si>
    <t>Код ДК 021:2015-33710000-0 - Парфуми, засоби гігієни та презервативи  (Мило рідке для рук і тіла: Бланідас Софт(Blanidas Soft), 5000 мл)</t>
  </si>
  <si>
    <t>Код ДК 021:2015-33730000-6 Офтальмологічні вироби та коригувальні лінзи (набір офтальмологічних пробних лінз С-2661 М (НК 024:2019:34653-Лінза окулярна пробна))</t>
  </si>
  <si>
    <t>Код ДК 021:2015-33740000-9 Засоби для догляду за руками та нігтями (серветки спиртові)</t>
  </si>
  <si>
    <t>Код ДК 021:2015-33750000-2 Засоби для догляду за малюками (пелюшки для дорослих ID Protect Plus 60*90 №30, пелюшки для дорослих ID Protect Plus 40*90 №30)</t>
  </si>
  <si>
    <t>Код ДК 021:2015-33750000-2 Засоби для догляду за малюками (підгузники  для дорослих ID Slip Plus M №30, підгузники  для дорослих ID Slip Plus L №30, пелюшки для дорослих ID Protect Plus 60*90 №30)</t>
  </si>
  <si>
    <t>Код ДК 021:2015-33760000-5 Туалетний папір, носові хустинки, рушники для рук і серветки(Туалетний папір Кохавинка-Велікан, Папір туалетний Кохавинка, Рушник Зетка)</t>
  </si>
  <si>
    <t>Код ДК 021:2015-33790000-4 Скляний посуд лабораторного, санітарно-гігієнічного чи фармацевтичного призначення (Скло предметне 26*76 мм зі шліфованим краєм, (50 шт/упак), Скло покрівне 18*18 mm (мм), (100 шт/уп), Прилад ШОЕ- метр ПР-3, к-т №1, Піпетка скляна до ШОЕ-метру ПС/СОЄ-01, Піпетка 0,1 мл)</t>
  </si>
  <si>
    <t>Код ДК 021:2015-33970000-0 Устаткування та приладдя для моргів (мішок пластиковий санітарний "МПС-2005")</t>
  </si>
  <si>
    <t>Код ДК 021:2015-34310000-3 Двигуни та їх частини(Патрубок 18 ціна за 1м.п)</t>
  </si>
  <si>
    <t>Код ДК 021:2015-34330000-9 Запасні частини до вантажних транспортних засобів, фургонів та легкових автомобілів (фільтри (масляний, повітряний, салону, палива), масло, амортизатор, сайленблок, трос гальма)</t>
  </si>
  <si>
    <t>Код ДК 021:2015-34910000-9 Гужові чи ручні вози, інші транспортні засоби з немеханічним приводом, багажні вози та різні запасні частини (34911100-7 Ручні візки (система для прибирання Aquva Vermop))</t>
  </si>
  <si>
    <t>Код ДК 021:2015-34910000-9 Гужові чи ручні вози, інші транспортні засоби з немеханічним приводом, багажні вози та різні запасні частини (Візок з комплектом для прибирання)</t>
  </si>
  <si>
    <t xml:space="preserve">Код ДК 021:2015-35110000-8 Протипожежне, рятувальне та захисне обладнання </t>
  </si>
  <si>
    <t>Код ДК 021:2015-35820000-8 Допоміжне екіпірування (прапор 90*135 см)</t>
  </si>
  <si>
    <t>Код ДК 021:2015-37820000-2 Приладдя для образотворчого мистецтва (папір кольоровий А4/80/500 арк.)</t>
  </si>
  <si>
    <t>Код ДК 021:2015-38340000-0 Прилади для вимірювання величин(Тестер 383 зі звуковою індикацією+термопара)</t>
  </si>
  <si>
    <t>Код ДК 021:2015-38410000-2 Лічильні прилади(38412000-6- Термометри(Термометр медичний максимальний скляний(код НК 024:2019-34343 Термометр капілярний для вимірювання температури тіла пацієнта)))</t>
  </si>
  <si>
    <t>Код ДК 021:2015-38410000-2 Лічильні прилади(Гігрометр ВІТ-1(код НК 024:2019-36893 Вимірювач вологи), Гігрометр ВІТ-2(код НК 024:2019-36893 Вимірювач вологи))</t>
  </si>
  <si>
    <t>Код ДК 021:2015-38420000-5 Прилади для вимірювання витрати, рівня та тиску рідин і газів (код НК 024:2019-16156-Анероїдний механічний апарат для вимірювання артеріального тиску (вимірювач артеріального тиску типу BP N-1 Basic, апарат для вимірювання кров'яного тиску із стетоскопом "MEDICAR"))</t>
  </si>
  <si>
    <t>Код ДК 021:2015-38430000-8 Детектори та аналізатори (лічильник лейкоцитарної формули С-5)</t>
  </si>
  <si>
    <t>Код ДК 021:2015-39110000-6 - Сидіння, стільці та супутні вироби і частини до них(Стілець гвинтовий СВСПС(код НК 024:2019- 34833 Стілець загального призначення)</t>
  </si>
  <si>
    <t>Код ДК 021:2015-39110000-6 Сидіння, стільці та супутні вироби і частини до них (крісло гінекологічне КГ-ЗЕ з електроприводом)</t>
  </si>
  <si>
    <t>Код ДК 021:2015-39120000-9 Столи, серванти, письмові столи та книжкові шафи (шафа-купе 5-ти дверна, стелаж 5,3м*2,1м)</t>
  </si>
  <si>
    <t>Код ДК 021:2015-39130000-2 Офісні меблі (набір меблів для офісу)</t>
  </si>
  <si>
    <t>Код ДК 021:2015-39130000-2 Офісні меблі (шафа 2-ох дверна)</t>
  </si>
  <si>
    <t>Код ДК 021:2015-39130000-2 Офісні меблі (шафа 5-ти дверна)</t>
  </si>
  <si>
    <t>Код ДК 021:2015-39140000-5 Меблі для дому (дивани)</t>
  </si>
  <si>
    <t>Код ДК 021:2015-39150000-8 Меблі та приспособи різні (39156000-0 Меблі для кімнат очікування і приймалень (дивани))</t>
  </si>
  <si>
    <t>Код ДК 021:2015-39220000-0 Кухонне приладдя, товари для дому та господарства і приладдя для закладів громадського харчування (39224000-8 Мітли, щітки та інше господарське приладдя (відроз віджимом, поліетиленове, щітка))</t>
  </si>
  <si>
    <t>Код ДК 021:2015-39220000-0 Кухонне приладдя, товари для дому та господарства і приладдя для закладів громадського харчування (39224210-3 Пензлі для фарбування)</t>
  </si>
  <si>
    <t>Код ДК 021:2015-39220000-0 Кухонне приладдя, товари для дому та господарства і приладдя для закладів громадського харчування (Моп із мікрофібри  FLAP&amp;POCKET 40 см)</t>
  </si>
  <si>
    <t>Код ДК 021:2015-39220000-0 Кухонне приладдя, товари для дому та господарства і приладдя для закладів громадського харчування (набір для прибирання, корзина для сміття)</t>
  </si>
  <si>
    <t>Код ДК 021:2015-39220000-0 Кухонне приладдя, товари для дому та господарства і приладдя для закладів громадського харчування(39224000-8 - Мітли, щітки та інше господарське приладдя(Віник "Сарго", Жилка до тримера 3 мм, Стрічка сантехнічна, Поріг 1м))</t>
  </si>
  <si>
    <t>Код ДК 021:2015-39220000-0 Кухонне приладдя, товари для дому та господарства і приладдя для закладів громадського харчування(39224210-3 - Пензлі для фарбування(Пензель малярний, Щітка-макловиця))</t>
  </si>
  <si>
    <t>Код ДК 021:2015-39220000-0 Кухонне приладдя, товари для дому та господарства і приладдя для закладів громадського харчування(39224210-3 - Пензлі для фарбування(Пензлі мал.., Стрічка малярна))</t>
  </si>
  <si>
    <t>Код ДК 021:2015-39220000-0 Кухонне приладдя, товари для дому та господарства і приладдя для закладів громадського харчування(Контейнер, Відро з кришкою, Кришка для відра, Корзина для сміття, Швабра 100% мікрофібра, Миска пластмасова/таз 30л, Миска пластмасова/таз 25л, Відро фіолет 7л з кришкою, Таз круглий 10л Маестро, Відро біле харч+кришка герметик, Відро гомпод 14л)</t>
  </si>
  <si>
    <t>Код ДК 021:2015-39240000-6 Різальні інструменти(Ніж підрізний МІМ-600.01.003, Ніж двосторонній МІМ-600.01.004)</t>
  </si>
  <si>
    <t>Код ДК 021:2015-39330000-4 Дезінфекційне обладнання (Станція для гігієни рук AHD2000 (педаль))</t>
  </si>
  <si>
    <t>Код ДК 021:2015-39330000-4 Дезінфекційне обладнання (Утримувач пляшок 1000 мл, станція гігєни рук AHD 2000 (педаль), ємність для дезінфекції ЄДПО, 5000 мл, ємність для дезінфекції ЄДПО, 3000 мл, ємність для дезінфекції ЄДПО, 10 000 мл)</t>
  </si>
  <si>
    <t>Код ДК 021:2015-39330000-4 Дезінфекційне обладнання (дозатор ліктевий, 1000 мл, диспенсер ER-7 білий, диспенсер RX-5 М з лотком для крапель і замком, білий)</t>
  </si>
  <si>
    <t>Код ДК 021:2015-39510000-0 Вироби домашнього текстилю (39514400-2 Диспенсери для рушників (Диспенсери для рушників z-типу (білий)))</t>
  </si>
  <si>
    <t>Код ДК 021:2015-39510000-0 Вироби домашнього текстилю (39514400-2 Диспенсери для рушників -z-типу, білий, диспенсер для туалетного паперу z-типу (білий)+ стандарт упаковка паперу z-типу )</t>
  </si>
  <si>
    <t>Код ДК 021:2015-39510000-0 Вироби домашнього текстилю (ролета 111*114 (праве відкривання, льон, сірий))</t>
  </si>
  <si>
    <t>Код ДК 021:2015-39510000-0 Вироби домашнього текстилю(Ролети)</t>
  </si>
  <si>
    <t>Код ДК 021:2015-39530000-6 Килимові покриття, килимки та килими(Килимок до ванної кімнати 0,65мм)</t>
  </si>
  <si>
    <t>Код ДК 021:2015-39560000-5 Текстильні вироби різні (ремені для фіксації хворого (пацієнта))</t>
  </si>
  <si>
    <t>Код ДК 021:2015-39560000-5 Текстильні вироби різні(Ремені для фіксації)</t>
  </si>
  <si>
    <t>Код ДК 021:2015-39710000-2 Електричні побутові прилади (39711000-9 Електричні побутові прилади для обробки продуктів харчування (холодильник ВЕКО Т 5190020 V 88л, морозильна камера CS 20141 M N 200л))</t>
  </si>
  <si>
    <t>Код ДК 021:2015-39710000-2 Електричні побутові прилади(Електронагрівач проточної води TWH-3G 3 кВт, до+60град, GRUNHELM 64625)</t>
  </si>
  <si>
    <t>Код ДК 021:2015-39710000-2 Електричні побутові прилади(Картоплечистка МОК 150М)</t>
  </si>
  <si>
    <t>Код ДК 021:2015-39710000-2 Електричні побутові прилади(Обігрівач масляний Kumtel KUM-122S White, Обігрівач масляний TESY CC 2510 E 05 R, Ел. чайник Edler EK7855)</t>
  </si>
  <si>
    <t>Код ДК 021:2015-39710000-2 Електричні побутові прилади(Праска Grunhelm EI9508C 2600Вт, керам, підошва авто-відключ, антикапля антиналіт)</t>
  </si>
  <si>
    <t>Код ДК 021:2015-41110000-3 Питна вода (вода Карпатська Джерельна, с/г 1,5л)</t>
  </si>
  <si>
    <t>Код ДК 021:2015-41110000-3 Питна вода(Вода Чистий ключ 0,5)</t>
  </si>
  <si>
    <t>Код ДК 021:2015-42130000-9 Арматура трубопровідна: крани, вентилі, клапани та подібні пристрої (ремкомплект для змішувача Струмок)</t>
  </si>
  <si>
    <t>Код ДК 021:2015-42130000-9 Арматура трубопровідна: крани, вентилі, клапани та подібні пристрої(Forte Кран кутовий(хрест) з керем, буксою SD 1/2х3/4 16960, SD Forte Американка пряма 1/2 SF190W15 8718, SD Forte заглушка 1/2 р.з SF35315 10696, SD Forte ніпель 1/2зх1/2з SF35315 10729, SD Кран Маєвск.білий ручний 1/2 SD211W15 3884, SD Кран поливочний 1/2 усил, SD140W15 8243, SD Кран шар. 1/2 в.в вода SD602W15 (5836), SD Кран шар. 1/2 з.в вода SD607W15 (5837), Кран водяний Karro Standart+B3 1/2"(червоний метелик), Кран водяний RS В3 3/4 (червоний метелик) нікель, Ремкомплект для змішувача Струмок, ТМ Футорка 1/2Вх3/4Н SF3742015)</t>
  </si>
  <si>
    <t>Код ДК 021:2015-42130000-9 Арматура трубопровідна: крани, вентилі, клапани та подібні пристрої(Кран шар,вода, Кран водяний RS BB3/4 (червоний метелик) нікель, Кран водяний RS B3 3/4 (червоний метелик) нікель, Кран шар. з американкою, Муфта чавун, Стал.Згон 50, Стал. Різьба коротка 50)</t>
  </si>
  <si>
    <t>Код ДК 021:2015-42520000-7 Вентиляційне обладнання(Гратка Вент.ДВ 300х300с М квадрат 250х250х11мм.)</t>
  </si>
  <si>
    <t>Код ДК 021:2015-42940000-7 - Машини для термічної обробки матеріалів (Мийка ультразвукова на 30л ( код НК 024:2019-14413 Мийка / стерилізатор)</t>
  </si>
  <si>
    <t>Код ДК 021:2015-42960000-3 Системи керування та контролю, друкарське і графічне обладнання та обладнання для автоматизації офісу й обробки інформації (42968000-9 Диспенсери (диспенсери для рукавичок))</t>
  </si>
  <si>
    <t>Код ДК 021:2015-42960000-3 Системи керування та контролю, друкарське і графічне обладнання та обладнання для автоматизації офісу й обробки інформації (42968000-9- Диспенсери (Диспенсер ER-T-білий, тримач рукавичок, диспенсер для туалетного паперу Міні Джамбо (Білий)))</t>
  </si>
  <si>
    <t>Код ДК 021:2015-42996400-8 Змішувачі</t>
  </si>
  <si>
    <t>Код ДК 021:2015-43830000-0 Електричні інструменти(Шуруповерт VORHUT VDS-85, Шліфувальна машина)</t>
  </si>
  <si>
    <t xml:space="preserve">Код ДК 021:2015-44110000-4 Конструкційні матеріали (Кутник ПВХ шпаклівочний 2,5 м, підклад під ламінат 5мм, ламанат KRONOPOL Дуб Шамон фаска 8мм/33, плінтус Дуб білий з резинкою 2,5м 24, кут зовнішній Дуб білий 11/24, кут внутрішній Дуб білий 10/24, з’єднувач Дуб білий 14/14, з’єднання ліве Дуб білий 12/14, з’єднання праве Дуб білий 13/14) </t>
  </si>
  <si>
    <t>Код ДК 021:2015-44110000-4 Конструкційні матеріали (плінтус пластиковий 2,5м, з'єднання, заглушки до плінтуса, кут внутрішній, поріг металевий 1,35м, кріплення для унітазу)</t>
  </si>
  <si>
    <t>Код ДК 021:2015-44110000-4 Конструкційні матеріали(44111200-3 - Цемент(Цемент М400 25 кг))</t>
  </si>
  <si>
    <t>Код ДК 021:2015-44110000-4 Конструкційні матеріали(Лінолеум 3*5)</t>
  </si>
  <si>
    <t>Код ДК 021:2015-44110000-4 Конструкційні матеріали(Планка металева з гумовою вставкою)</t>
  </si>
  <si>
    <t>Код ДК 021:2015-44110000-4 Конструкційні матеріали(Прокладки 25 1" силікон, Прокладки силікон 15 1/2)</t>
  </si>
  <si>
    <t>Код ДК 021:2015-44110000-4 Конструкційні матеріали(Піна монтажна, Викрутка з насадками)</t>
  </si>
  <si>
    <t>Код ДК 021:2015-44110000-4 Конструкційні матеріали(Саморізи 76мм, Саморізи 35мм, Саморізи 8*80, Шайби 8, Турбошурупи 72 мм, Дюбеля 6*40, Дюбеля до гіпсокартону, Сверло 10*300)</t>
  </si>
  <si>
    <t>Код ДК 021:2015-44130000-0 Каналізаційні системи(Корок заглушка, Ревізія, Муфта зєднювальна, Трійник)</t>
  </si>
  <si>
    <t>Код ДК 021:2015-44160000-9 - Магістралі, трубопроводи, труби, обсадні труби, тюбінги та супутні вироби (Еко труба Glass Fiber CONCEPT PN 20x20, Еко муфта 20-1/2 МРВ, Еко муфта 20-1/2 р.зов. ППР МР3)</t>
  </si>
  <si>
    <t>Код ДК 021:2015-44160000-9 Магістралі, трубопроводи, труби, обсадні труби, тюбінги та супутні вироби (44161200-8 Водогінні труби (поліетиленові))</t>
  </si>
  <si>
    <t>Код ДК 021:2015-44160000-9 Магістралі, трубопроводи, труби, обсадні труби, тюбінги та супутні вироби (Еко труба 20 вода SDR 2.3 vv (ВО)12702)</t>
  </si>
  <si>
    <t>Код ДК 021:2015-44160000-9 Магістралі, трубопроводи, труби, обсадні труби, тюбінги та супутні вироби (шланг до води 0,60 м п/м, шланг до води 0,40 м п/м)</t>
  </si>
  <si>
    <t>Код ДК 021:2015-44160000-9 Магістралі, трубопроводи, труби, обсадні труби, тюбінги та супутні вироби(FIT SD Коліно розбірне 16х1/2в(15955), FIT SD Трійник розбірний 16-16-16(15957), FIT SD ориг.Муфта 16х1/2 р. внутрішня 15952, FIT SD ориг.Муфта 16х1/2 р. зовнішня 15953, SD Forte ніпель 1/2з х 1/2з SF35815 10729, SD Forte трійник 1/2 в-1/2в-1/2в SF36115 10771, Еко коліно 20-90* 10417, Еко коліно настінне установочне 20-1/2 р. в 10431, Еко муфта 20 ППР 10402, Еко муфта 20-1/2 МРВ 10408, Еко муфта 20-1/2 р. зов. ППР МР3 10412-10427, Еко муфта 32--1" МРВ, Еко трійник 20-20-20 ППР 10434, Коліно 25*25(ПНД,VS)4001, Коліно 50/45, Коліно 50/90, Лат.муфта -1/2в-1/2в (34) 10709, Муфта 25х1/2 внут.різ.(синя труба), Перехід патрубок (на чугун) 50х72 (без резинки) 28331, Редукція резинова 110х124 (перехід чуг.пласт), ТМ Перехід 3/4 В х 1/2Н SF3602015, Редукція резинова 50*25, Редукція резинова 50х75 (перехід з чавуна на пластік) 7336, Трійник 50/50/90)</t>
  </si>
  <si>
    <t>Код ДК 021:2015-44160000-9 Магістралі, трубопроводи, труби, обсадні труби, тюбінги та супутні вироби(Американка 3/4 пряма латунь, Еко труба 25х4,2 звичайна, Еко коліно 20-20 під 45*, Еко коліно 20-90*, Еко коліно 25х25 під 90*, Еко муфта 20-1/2, Еко муфта 20-1/2 р.зов., Еко муфта 25, Еко муфта 25*3/4, Еко муфта 25-20, Еко трійник 25-20-25, Еко хрестовина 25х25х25х25, Муфта Зовн,гайкою з лат,штоком 20*1/2, Ніпель нікельований, Футорка 1/2Вх3/4Н, Шлагн(ігла) нерж.М10-1/2-0,50м довгий, Шланг(ігла) нерж.М10-1/2-0,50м, Шланг(ігла) нерж.М10-1/2-0,50м кор., Шланг(ігла) нерж. М10-1/2-1,20м.д.к, Шланг(ігла) нерж. М10-1/2-0,40м д.,Шланг(ігла) нерж. М10-1/2-0,40м к.)</t>
  </si>
  <si>
    <t>Код ДК 021:2015-44160000-9 Магістралі, трубопроводи, труби, обсадні труби, тюбінги та супутні вироби(Дренажна труба за 1м/п 100ф, Корок заглушка 110, Планка під змішувач 20х1/2"в-А-П 12213, Труба металопласт. KISAN 16ф (200м.бухта) Germani, Шланг для води 2,00 м м/м(3945), Шланг для води 2,00м. п/м(3947), Труба 50/1,8-315мм., Труба 50/1,8-500мм)</t>
  </si>
  <si>
    <t>Код ДК 021:2015-44160000-9 Магістралі, трубопроводи, труби, обсадні труби, тюбінги та супутні вироби(Коліно НПВХ 110/30 зовн., Коліно НПВХ 110/45 зовн., Трійник НПВХ 110/90 зовн., Трійник НПВХ 110/45 зовн., Ревізія НПВХ 110 зовн.)</t>
  </si>
  <si>
    <t>Код ДК 021:2015-44160000-9 Магістралі, трубопроводи, труби, обсадні труби, тюбінги та супутні вироби(Труби НПВХ 110/3,2-500 зовн., Труби НПВХ 110/3,2-1000 зовн., Труби НПВХ 110/3,2-2000 зовн., Труби НПВХ 110/3,2-3000 зовн.)</t>
  </si>
  <si>
    <t>Код ДК 021:2015-44170000-2 Плити, листи, стрічки та фольга, пов’язані з конструкційними матеріалами (Плита стельова 600*600*13мм Planet пластик глянц, сітка до пінопласту Premium VMF EWRO деш)</t>
  </si>
  <si>
    <t>Код ДК 021:2015-44170000-2 Плити, листи, стрічки та фольга, пов’язані з конструкційними матеріалами (плівка біла 200 мікрон)</t>
  </si>
  <si>
    <t>Код ДК 021:2015-44170000-2 Плити, листи, стрічки та фольга, пов’язані з конструкційними матеріалами (самоклеюча плівка)</t>
  </si>
  <si>
    <t>Код ДК 021:2015-44170000-2 Плити, листи, стрічки та фольга, пов’язані з конструкційними матеріалами(Ізострічка)</t>
  </si>
  <si>
    <t>Код ДК 021:2015-44170000-2 Плити, листи, стрічки та фольга, пов’язані з конструкційними матеріалами(СК плівка+порізка)</t>
  </si>
  <si>
    <t>Код ДК 021:2015-44190000-8 Конструкційні матеріали різні(Плита ДСП 16мм 900*1800мм салатова+кромка)</t>
  </si>
  <si>
    <t>Код ДК 021:2015-44210000-5 Конструкції та їх частини(Вікно м/п розмір 1100х1830мм)</t>
  </si>
  <si>
    <t>Код ДК 021:2015-44210000-5 Конструкції та їх частини(Кутник метал. 3 м, Кутник метал. 200*300)</t>
  </si>
  <si>
    <t>Код ДК 021:2015-44220000-8 Столярні вироби (вікно металопластикове 1900*1900, підвіконник 400*1950, відлив 240*1870)</t>
  </si>
  <si>
    <t>Код ДК 021:2015-44220000-8 Столярні вироби( вікно м/п розмір 1090*1800, вікно м/п розмір 970*840)</t>
  </si>
  <si>
    <t>Код ДК 021:2015-44220000-8 Столярні вироби(Вікно металопластикове 1110*1180)</t>
  </si>
  <si>
    <t>Код ДК 021:2015-44310000-6 Вироби з дроту(Дріт оцинк. 3мм)</t>
  </si>
  <si>
    <t>Код ДК 021:2015-44320000-9 Кабелі та супутня продукція(Гофра(не горюча) Д16 нг, сіра (100м,рул) 1м/п, Провід АППВ 2х2,5, Провід ШВВП 2-2,5, шввп 3х2,5)</t>
  </si>
  <si>
    <t>Код ДК 021:2015-44320000-9 Кабелі та супутня продукція(Кабельний канал 15*10 м/п, Кабельний канал 16*16 м/п, Кабельний канал 20*10 м/п, ПВС 3х4 GAL KAT TУ У 27,3,38456790-016:2019, Провід АППВ 2Х2,5 Одеса Гост, Провід ВВП 2-2,5 ВВГ сірий Одеса кабель нгд 2017 р, Провід ШВВП 2Х2,5 ГОСТ Pro, ШВВП 2Х2,5 ГОСТ одеса (диш) Одеса кабель 2017р.)</t>
  </si>
  <si>
    <t>Код ДК 021:2015-44320000-9 Кабелі та супутня продукція(Провід електор. 3*2,5)</t>
  </si>
  <si>
    <t>Код ДК 021:2015-44330000-2 Будівельні прути, стрижні, дроти та профілі (Профіль пристінний 19*24*3000мм Sora, профіль Т-24 3600*38*24мм  білий Sora, профіль Т-24 1200*25*24мм  білий Sora, профіль Т-24 600*25*24мм  білий Sora)</t>
  </si>
  <si>
    <t>Код ДК 021:2015-44410000-7 Вироби для ванної кімнати та кухні (44411100-5 Водопровідні крани)</t>
  </si>
  <si>
    <t>Код ДК 021:2015-44410000-7 Вироби для ванної кімнати та кухні (змішувач ЄС-300,змішувач SPR AOST, змішувач SPR 005)</t>
  </si>
  <si>
    <t>Код ДК 021:2015-44410000-7 Вироби для ванної кімнати та кухні (кран водяний 1/2 вн, зовн., змішувач для умивальника, сифон для умивальника)</t>
  </si>
  <si>
    <t>Код ДК 021:2015-44410000-7 Вироби для ванної кімнати та кухні(Зміщувач для кухні Wezer YUB4-R279,рефлекторний гусак,гайка)</t>
  </si>
  <si>
    <t>Код ДК 021:2015-44410000-7 Вироби для ванної кімнати та кухні(Сифон Душ кабіни(клік-клак) з гофрою Д0230, Шланг(ігла) нерж. М10-1/2-0,50м HY6201А д.(6994) 9361, Шланг(ігла) нерж. М10-1/2-0,40м(6993))</t>
  </si>
  <si>
    <t>Код ДК 021:2015-44410000-7 Вироби для ванної кімнати та кухні(Шланг VENTA FH3A 1,5м, Шланг для душа 800 1,5м, Шланг для душ Solone)</t>
  </si>
  <si>
    <t>Код ДК 021:2015-44420000-0 Будівельні товари (драбина металева 4-х сходинкова)</t>
  </si>
  <si>
    <t>Код ДК 021:2015-44420000-0 Будівельні товари(44423710-1 - Каналізаційні люки(Люк каналізаційний 70см))</t>
  </si>
  <si>
    <t>Код ДК 021:2015-44470000-5 Чавунні вироби(Футорка чавун(35х15) 11/4з х 1/2в ліва.(батар.чавун) КЧ313215L(15936), Футорка чуг.(32х20) 1"1/4з х 3/4в)</t>
  </si>
  <si>
    <t>Код ДК 021:2015-44510000-8 Знаряддя (Розвідний гайковий ключ 36*300мм, Al-Cu X-Spark, молоток інженерний 0,5 кг, Al-Cu X-Spark)</t>
  </si>
  <si>
    <t>Код ДК 021:2015-44510000-8 Знаряддя (пилочка по металу для електролобзика Т118 В)</t>
  </si>
  <si>
    <t>Код ДК 021:2015-44510000-8 Знаряддя(44512900-1 - Свердла, жала до викруток та інше приладдя(Свердло 5 мм, Свердло до перфоратора 6 мм, Свердло 12 мм))</t>
  </si>
  <si>
    <t>Код ДК 021:2015-44510000-8 Знаряддя(Дюбеля з саморізом)</t>
  </si>
  <si>
    <t>Код ДК 021:2015-44510000-8 Знаряддя(Набір шестигранинників, Пістолет для силікону, Лом-цвяходер, Пила дискова 125, Шнур господарський 25м)</t>
  </si>
  <si>
    <t>Код ДК 021:2015-44510000-8 Знаряддя(Пістолет для піни)</t>
  </si>
  <si>
    <t>Код ДК 021:2015-44510000-8 Знаряддя(Свердло 6мм/110, Свердло до плитки 6мм, Свердло по металу 6мм, Набір викруток 8шт)</t>
  </si>
  <si>
    <t>Код ДК 021:2015-44510000-8 Знаряддя(Свердло по металу YATO 10мм, 133мм, 6-гран, Свердло по металу YATO 6мм, 113мм, 6-гран)</t>
  </si>
  <si>
    <t>Код ДК 021:2015-44520000-1 Замки, ключі та петлі (44521100-9 Врізні замки)</t>
  </si>
  <si>
    <t>Код ДК 021:2015-44520000-1 Замки, ключі та петлі(Замок врізний)</t>
  </si>
  <si>
    <t>Код ДК 021:2015-44520000-1 Замки, ключі та петлі(серцевина імперіал 90 45х45-С - СР 5 кл.)</t>
  </si>
  <si>
    <t>Код ДК 021:2015-44530000-4 Кріпильні деталі (Скоба кріплення L=125 0,6мм, саморіз 3,5*25, дюбель SM 6*40)</t>
  </si>
  <si>
    <t>Код ДК 021:2015-44530000-4 Кріпильні деталі (дюбель з саморізом)</t>
  </si>
  <si>
    <t>Код ДК 021:2015-44530000-4 Кріпильні деталі(44531300-4 - Саморізи(Саморізи 55))</t>
  </si>
  <si>
    <t>Код ДК 021:2015-44530000-4 Кріпильні деталі(Дюбель-ялинка(зажим) для круглого кабеля до 8мм, Прямий гак(8х80), Гайка М16, Дюбель потрійного розпору 12х80, Дюбель розпір. 6*30, Дюбель розпір. б/ком. з удар.шур.6,0х40(упак), Дюбель розпір. з/ком. з удар.шур.6,0х40(упак), Затиск для линв DIN 741 5мм, Прямий гак 4х40, Самонаріз рамний турбо ТХ 30 7,5*72, Шайба збільшена DIN 9021/Гост 16х51 б/ц, Шпилька стальна з різьбою М16х1000мм, Шуруп для лаг 8х80)</t>
  </si>
  <si>
    <t>Код ДК 021:2015-44530000-4 Кріпильні деталі(Еко кріплення труби 20 одинарне 35729)</t>
  </si>
  <si>
    <t>Код ДК 021:2015-44530000-4 Кріпильні деталі(Кріплення умивальника до стіни КР 810 8х100 білий(2шт))</t>
  </si>
  <si>
    <t>Код ДК 021:2015-44530000-4 Кріпильні деталі(Саморізи 76мм, Турбошуруп 182)</t>
  </si>
  <si>
    <t>Код ДК 021:2015-44530000-4 Кріпильні деталі(Стяжка 2,5х150 чорна+білі W2.5х150, Хомут нерж,Profi 12х22/9мм, Хомут нерж,Profi 16х27/9мм)</t>
  </si>
  <si>
    <t>Код ДК 021:2015-44800000-8 Фарби, лаки, друкарська фарба та мастики (44820000-4 Лаки (лак "Максіма", 2,5кг))</t>
  </si>
  <si>
    <t>Код ДК 021:2015-44800000-8 Фарби, лаки, друкарська фарба та мастики (фарба водоемульсійна,☺4кг, емаль блакитна ПФ 115, 2,8 кг, емаль біла ПФ 115, 0,9 кг)</t>
  </si>
  <si>
    <t>Код ДК 021:2015-44800000-8 Фарби, лаки, друкарська фарба та мастики(Водоемульсійна фарба 14 кг, Емаль біла ПФ 0,9 кг)</t>
  </si>
  <si>
    <t>Код ДК 021:2015-44800000-8 Фарби, лаки, друкарська фарба та мастики(Емаль ПФ 115 0,9 кг біла, Емаль ПФ 115 0,9 кг жовта)</t>
  </si>
  <si>
    <t>Код ДК 021:2015-44800000-8 Фарби, лаки, друкарська фарба та мастики(Емаль ПФ 115 2,7 кг біла, Емаль ПФ 115 2,7 кг синя)</t>
  </si>
  <si>
    <t>Код ДК 021:2015-44800000-8 Фарби, лаки, друкарська фарба та мастики(Емаль червона 2,8 кг, Емаль 0,9 кг)</t>
  </si>
  <si>
    <t>Код ДК 021:2015-44810000-1 Фарби (Водоемульсія «ЕКО Снєжка» 20 кг (відро))</t>
  </si>
  <si>
    <t>Код ДК 021:2015-44810000-1 Фарби (Водоемульсія «ЕКО Снєжка» 20 кг)</t>
  </si>
  <si>
    <t>Код ДК 021:2015-44810000-1 Фарби(Емаль Універ.)</t>
  </si>
  <si>
    <t>Код ДК 021:2015-44830000-7 Мастики, шпаклівки, замазки та розчинники (Шпаклівка «Акрил-путц» 2в1 20 кг, шпаклівка «Альба-120» 25кг, грунт фасадний «Альба» 15кг, самовирівнююча Мастер Горизонт 25 кг)</t>
  </si>
  <si>
    <t>Код ДК 021:2015-44830000-7 Мастики, шпаклівки, замазки та розчинники (розчинник "Уайт-спірит", грунтівка універсальна 10л)</t>
  </si>
  <si>
    <t>Код ДК 021:2015-44830000-7 Мастики, шпаклівки, замазки та розчинники (розчинникУайт - спіріт 1л)</t>
  </si>
  <si>
    <t>Код ДК 021:2015-44830000-7 Мастики, шпаклівки, замазки та розчинники(Грунтівка 10л, Унігрунт 5л, Грунтівка по металу 3 в 1)</t>
  </si>
  <si>
    <t>Код ДК 021:2015-44830000-7 Мастики, шпаклівки, замазки та розчинники(Розчинник 0,8 л)</t>
  </si>
  <si>
    <t>Код ДК 021:2015-44830000-7 Мастики, шпаклівки, замазки та розчинники(Розчинник до фарби 0,8л)</t>
  </si>
  <si>
    <t>Код ДК 021:2015-44830000-7 Мастики, шпаклівки, замазки та розчинники(Шпаклівка "Кнауф" 30 кг старт., Шпаклівка "Кнауф" 25 кг фініш)</t>
  </si>
  <si>
    <t>Код ДК 021:2015-44830000-7 Мастики, шпаклівки, замазки та розчинники(Шпаклівка по дереву "Farbex" дуб 0,35кг, Уніпак мал. 65г)</t>
  </si>
  <si>
    <t>Код ДК 021:2015-44920000-5 Вапняк, гіпс і крейда(Крейда фасована 2 кг)</t>
  </si>
  <si>
    <t>Код ДК 021:2015-45110000-1 Руйнування та знесення будівель і земляні роботи (45451100-4 Оздоблювальні роботи (Благоустрій території КНП "Стебницька міська лікарня"ДМР))</t>
  </si>
  <si>
    <t>Код ДК 021:2015-45110000-1 Руйнування та знесення будівель і земляні роботи (Благоустрій території КНП "Стебницька міська лікарня"ДМР)</t>
  </si>
  <si>
    <t>Код ДК 021:2015-45260000-7 Покрівельні роботи та інші спеціалізовані будівельні роботи (аварійно-відновлювальні роботи (після буревію, що стався 17 лютого 2022р.) частини покрівлі будівлі інфекційного відділення КНП "Стебницька міська лікарня" ДМР за адресою: Львівська обл., м. Стебник, вул. Січових Стрільців, 2 (поточний ремонт))</t>
  </si>
  <si>
    <t>Код ДК 021:2015-45450000-6 - Інші завершальні будівельні роботи(Капітальний ремонт з улаштування комерційного вузла обліку електричної енергії (ВОЕ) в ТП-405-22 у КНП «Стебницька міська лікарня» ДМР за адресою: Львівська обл. м. Стебник, вул. С.Стрільців, 2)</t>
  </si>
  <si>
    <t>Код ДК 021:2015-45450000-6 Інші завершальні будівельні роботи (Капітальний ремонт коридору операційного блоку №1 в КНП «Стебницька міська лікарня» ДМР за адресою вул. Січових Стрільців, 2, м. Стебник, Львівська обл.)</t>
  </si>
  <si>
    <t>Код ДК 021:2015-45450000-6 Інші завершальні будівельні роботи (Капітальний ремонт по об'єкту: Облаштування заїзду та площадки деконтамінації спеціального транспорту до санітарно-пропускного пункту №2 в КНП "Стебницька міська лікарня" ДМР за адресою: м. Стебник, вул. Січовиї Стрільців,2)</t>
  </si>
  <si>
    <t>Код ДК 021:2015-45450000-6 Інші завершальні будівельні роботи (Капітальний ремонт приміщень перев’язочної та кімнати медсестри в КНП «Стебницька міська лікарня» ДМР за адресою вул. Січових Стрільців, 2, м. Стебник, Львівська обл.)</t>
  </si>
  <si>
    <t>Код ДК 021:2015-45450000-6 Інші завершальні будівельні роботи (Капітальний ремонт санітарно-пропускного пункту № 2 та ординаторської з приміщенням підготовки персоналу до санітарної очистки в КНП «Стебницька міська лікарня» ДМР за адресою: Львівська обл., м. Стебник, вул. Січових Стрільців, 2)</t>
  </si>
  <si>
    <t>Код ДК 021:2015-45450000-6 Інші завершальні будівельні роботи (капітальний ремонт кабінету ЛОР ендоскопії у КПН "Стебницька міська лікарня" ДМР за адресою: вул. Січових Стрільців,2, м. Стебник, Львівська обл.)</t>
  </si>
  <si>
    <t>Код ДК 021:2015-45450000-6 Інші завершальні будівельні роботи (капітальний ремонт кабінету комп’ютерної томографії КНП "Стебницька міська лікарня" ДМР за адресою: вул. Січових Стрільців,2, м. Стебник, Львівська обл.)</t>
  </si>
  <si>
    <t>Код ДК 021:2015-45450000-6 Інші завершальні будівельні роботи (капітальний ремонт приміщень операційного блоку №1 у КНП "Стебницька міська лікарня" ДМР за адресою: вул. Січових Стрільців,2, м. Стебник, Львівська обл.)</t>
  </si>
  <si>
    <t>Код ДК 021:2015-45450000-6 Інші завершальні будівельні роботи(Капітальний ремонт покрівлі(господарська будівля, баклабораторія) в КНП "Стебницька міська лікарня" ДМР за адресою: Львівська обл., м. Стебник, вул. Січових Стрільців,2)</t>
  </si>
  <si>
    <t>Код ДК 021:2015-45450000-6 Інші завершальні будівельні роботи(Капітальний ремонт покрівлі(господарська будівля, прачечна) в КНП "Стебницька міська лікарня" ДМР за адресою: Львівська обл., м. Стебник, вул. Січових Стрільців,2)</t>
  </si>
  <si>
    <t>Код ДК 021:2015-48480000-6 Пакети програмного забезпечення для продажу та реалізації продукції і бізнес-аналітики(невиключна ліцензія(право) на використання програмного забезпечення, а саме: Е-журнал Головбух: Медицина(надання права на використання) 12 міс., Е-журнал Управління закладом охорони здоров'я( надання права на використання) 12 міс.)</t>
  </si>
  <si>
    <t>Код ДК 021:2015-48810000-9 Інформаційні системи(Постачання Програмної продукції- програмного комплексу "Медична інформаційна система "Health24"" в формі онлайн-доступу через всесвітню мережу Інтернет на базі власних хмарних обчислювальних потужностей з наданням відповідних ліцензійних ключів (Право користування) та технічний супровід Програмної продукції, що включає в себе: внесення змін, оновлень версій, додатків, доповнень та/або розширень функціоналу, виправлення помилок та усунення збоїв в роботі, надання права на отримання таких оновлень, змін, додатків, доповнень протягом певного періоду часу (Підтримка) на визначену кількість користувачів зі строком дії до 30.11.2022 р. включно)</t>
  </si>
  <si>
    <t>Код ДК 021:2015-48810000-9 Інформаційні системи(Постачання Програмної продукції- програмного комплексу "Медична інформаційна система "Health24"" в формі онлайн-доступу через всесвітню мережу Інтернет на базі власних хмарних обчислювальних потужностей з наданням відповідних ліцензійних ключів (Право користування) та технічний супровід Програмної продукції, що включає в себе: внесення змін, оновлень версій, додатків, доповнень та/або розширень функціоналу, виправлення помилок та усунення збоїв в роботі, надання права на отримання таких оновлень, змін, додатків, доповнень протягом певного періоду часу (Підтримка) на визначену кількість користувачів зі строком дії до 31.12.2022 р. включно)</t>
  </si>
  <si>
    <t>Код ДК 021:2015-50110000-9 Послуги з ремонту і технічного обслуговування мототранспортних засобів і супутнього обладнання</t>
  </si>
  <si>
    <t xml:space="preserve">Код ДК 021:2015-50110000-9 Послуги з ремонту і технічного обслуговування мототранспортних засобів і супутнього обладнання </t>
  </si>
  <si>
    <t>Код ДК 021:2015-50110000-9 Послуги з ремонту і технічного обслуговування мототранспортних засобів і супутнього обладнання (поточне обслуговування автомобіля Renault Logan №ВС 1272ІА)</t>
  </si>
  <si>
    <t>Код ДК 021:2015-50310000-1 Технічне обслуговування і ремонт офісної техніки (заправка  та відновлення картриджів Canon/HP в кількості 6(шість) штук і Kyacera в кількості 1(одна) штука)</t>
  </si>
  <si>
    <t>Код ДК 021:2015-50310000-1 Технічне обслуговування і ремонт офісної техніки (заправка та відновлення картриджів Canon/HP (12шт))</t>
  </si>
  <si>
    <t>Код ДК 021:2015-50310000-1 Технічне обслуговування і ремонт офісної техніки (заправка та відновлення картриджів Canon/HP (15шт))</t>
  </si>
  <si>
    <t>Код ДК 021:2015-50310000-1 Технічне обслуговування і ремонт офісної техніки (заправка та відновлення картриджів Canon/HP (6шт))</t>
  </si>
  <si>
    <t>Код ДК 021:2015-50310000-1 Технічне обслуговування і ремонт офісної техніки (заправка та відновлення картриджів Canon/HP (7шт))</t>
  </si>
  <si>
    <t>Код ДК 021:2015-50310000-1 Технічне обслуговування і ремонт офісної техніки(Заправка та відновлення  картриджів Canon/HP/Xerox в кількості 2 (дві) штуки і Kyacera в кількості 1 (одна) штука)</t>
  </si>
  <si>
    <t>Код ДК 021:2015-50310000-1 Технічне обслуговування і ремонт офісної техніки(Заправка та відновлення картриджів Canon/HP в кількості 7(сім) штук і Kyacera в кількості 3(три) штуки)</t>
  </si>
  <si>
    <t>Код ДК 021:2015-50310000-1 Технічне обслуговування і ремонт офісної техніки(Заправка та відновлення картриджів Canon/HP/Xerox в кількості 2 (дві) штуки і Kyacera в кількості 2 (дві) штука)</t>
  </si>
  <si>
    <t>Код ДК 021:2015-50310000-1 Технічне обслуговування і ремонт офісної техніки(Заправка та відновлення картриджів Canon/HP/Xerox в кількості 2 (дві) штуки)</t>
  </si>
  <si>
    <t>Код ДК 021:2015-50310000-1 Технічне обслуговування і ремонт офісної техніки(Заправка та відновлення картриджів Canon/HP/Xerox в кількості 5 (дві) штуки і Kyacera в кількості 2 (одна) штука, відновлення картриджів Canon 737-1шт)</t>
  </si>
  <si>
    <t>Код ДК 021:2015-50310000-1 Технічне обслуговування і ремонт офісної техніки(Ремонт принтера HP1102 в кількості 1 (одна) штука та Canon MF3010 кількості 1 (одна) штука)</t>
  </si>
  <si>
    <t>Код ДК 021:2015-50340000-0 Послуги з ремонту і технічного обслуговування аудіовізуального та оптичного обладнання (послуги з обслуговування обладнання системи відеоспостереження)</t>
  </si>
  <si>
    <t>Код ДК 021:2015-50410000-2 Послуги з ремонту і технічного обслуговування вимірювальних, випробувальних і контрольних приладів (пломбування (розппломбування) вузла обліку електричної енергії)</t>
  </si>
  <si>
    <t>Код ДК 021:2015-50410000-2 Послуги з ремонту і технічного обслуговування вимірювальних, випробувальних і контрольних приладів (повірка ЗР ЗВТ (дозатори піпеткові усіх типів, мановакуумметри робочі усіх типів, контроль КНХ ВО, центрифуги для розділення неоднорідно рідких систем))</t>
  </si>
  <si>
    <t>Код ДК 021:2015-50410000-2 Послуги з ремонту і технічного обслуговування вимірювальних, випробувальних і контрольних приладів (повірка ЗР ЗВТ (дозатори піпеткові, ваги лаб. електронні, КНХ ВО, центрифуги для розділення неоднорідно рідких систем))</t>
  </si>
  <si>
    <t>Код ДК 021:2015-50410000-2 Послуги з ремонту і технічного обслуговування вимірювальних, випробувальних і контрольних приладів (повірка, контроль метрологічних характеристик, калібрування ЗВТ(манометри до 60 МПа, вакуумерти робочі усіх типів)</t>
  </si>
  <si>
    <t>Код ДК 021:2015-50410000-2 Послуги з ремонту і технічного обслуговування вимірювальних, випробувальних і контрольних приладів (повірка, контроль метрологічних характеристик, калібрування ЗВТ(манометри усіх типів, термометри скляні лаб. від 0 до 300 град. С та вище ТТ, ТЛ))</t>
  </si>
  <si>
    <t>Код ДК 021:2015-50410000-2 Послуги з ремонту і технічного обслуговування вимірювальних, випробувальних і контрольних приладів (повірка, контроль метрологічних характеристик, калібрування ЗВТ)</t>
  </si>
  <si>
    <t>Код ДК 021:2015-50410000-2 Послуги з ремонту і технічного обслуговування вимірювальних, випробувальних і контрольних приладів (послуги з повірки, контролю метрологічних характеристик, калібрування засобів вимірювальної техніки (Повірка ЗР ЗВТ (аналізатори гематологічні, фотометри, гемокоагулометр турбодіметричний фотометричний, аналізатори імуноферментні))</t>
  </si>
  <si>
    <t>Код ДК 021:2015-50420000-5 Послуги з ремонту і технічного обслуговування медичного та хірургічного обладнання (технічне обслуговування біохімічного аналізатора NeoChem 100)</t>
  </si>
  <si>
    <t>Код ДК 021:2015-50420000-5 Послуги з ремонту і технічного обслуговування медичного та хірургічного обладнання (технічне обслуговування гематологічного аналізатора Phoenix NCC-3300)</t>
  </si>
  <si>
    <t>Код ДК 021:2015-50514200-3 Послуги з ремонту і технічного обслуговування резервуарів ( Послуги по технічному обслуговуванню та ремонту кисневих ємностей, а саме: ємність для газифікації Portacryo P3019ECS/1 (посудина, що працює під тиском об'ємом 3000 літрів) та кисневої системи ( рампи кисневі, кисневі трубопроводи, крани кисневих точок)</t>
  </si>
  <si>
    <t>Код ДК 021:2015-50530000-9 - Послуги з ремонту і технічного обслуговування техніки (Послуги щодо поточного ремонту ДГУ)</t>
  </si>
  <si>
    <t>Код ДК 021:2015-50530000-9 Послуги з ремонту і технічного обслуговування техніки (комплексне технічне обслуговування  дизель-генератора DK-220)</t>
  </si>
  <si>
    <t>Код ДК 021:2015-50530000-9 Послуги з ремонту і технічного обслуговування техніки (послуги по технічному обслуговуванню генератора кисню MAS-OXY-15-030-R-1-1-1-1 ТУ У 32.5-39376051-002:2020)</t>
  </si>
  <si>
    <t>Код ДК 021:2015-50530000-9 Послуги з ремонту і технічного обслуговування техніки (проведення ремонту дизель-генератора DK-220)</t>
  </si>
  <si>
    <t>Код ДК 021:2015-50530000-9 Послуги з ремонту і технічного обслуговування техніки (сервісне (технічне обслуговування системи газопостачання та газовикористовуючого обладнання))</t>
  </si>
  <si>
    <t>Код ДК 021:2015-50610000-4 Послуги з ремонту і технічного обслуговування захисного обладнання (технічне діагностування вогнегасника ВП-2, технічне діагностування вогнегасника ВВК 1.4)</t>
  </si>
  <si>
    <t>Код ДК 021:2015-50750000-7 Послуги з технічного обслуговування ліфтів (Повне технічне обслуговування  ліфта ЛМШ 150 кг на 2 поверхи, ліфта ЛМШ 150 кг на 5 поверхів, ліфта лікарняного на 500 кг на 5 поверхів на об'єкті: м. Стебник, вул. Січових стрільців,2)</t>
  </si>
  <si>
    <t>Код ДК 021:2015-50750000-7 Послуги з технічного обслуговування ліфтів (періодичний технічний огляд лікарняного ліфта)</t>
  </si>
  <si>
    <t>Код ДК 021:2015-50800000-3 Послуги з різних видів ремонту і технічного обслуговування (послуги із облаштування, ремонту та розчищення водостоків автомобільною вишкою ВС-22МС (ЗІЛ-431412) №0979Ч1)</t>
  </si>
  <si>
    <t>Код ДК 021:2015-50850000-8 Послуги з ремонту і технічного обслуговування меблів (послуги з ремонту та реставрації крісел)</t>
  </si>
  <si>
    <t>Код ДК 021:2015-60100000-9 Послуги з автомобільних перевезень (послуги по доставці кисню газоподібного медичного)</t>
  </si>
  <si>
    <t>Код ДК 021:2015-64200000-8 Телекомунікаційні послуги</t>
  </si>
  <si>
    <t>Код ДК 021:2015-64210000-1 Послуги телефонного зв’язку та передачі даних (Телекомунікаційні послуги)</t>
  </si>
  <si>
    <t xml:space="preserve">Код ДК 021:2015-65110000-7 Розподіл води </t>
  </si>
  <si>
    <t>Код ДК 021:2015-65210000-8 Розподіл газу</t>
  </si>
  <si>
    <t>Код ДК 021:2015-65310000-9 Розподіл електричної енергії</t>
  </si>
  <si>
    <t>Код ДК 021:2015-65310000-9 Розподіл електричної енергії (Послуги з компенсації перетікань реактивної електричної енергії)</t>
  </si>
  <si>
    <t>Код ДК 021:2015-65310000-9 Розподіл електричної енергії(Послуги з компенсації перетікань реактивної електричної енергії)</t>
  </si>
  <si>
    <t>Код ДК 021:2015-66514110-0 Послуги зі страхування транспортних засобів (Послуги з обов’язкового страхування цивільно - правової відповідальності власників наземних транспортних засобів, КНП "СМЛ" ДМР (Volkswagen Transporter (ВС 5790 ІА), Renault DUSTER (ВС 8761PE)))</t>
  </si>
  <si>
    <t>Код ДК 021:2015-71240000-2 Архітектурні, інженерні та планувальні послуги (розробка кошторисної документації по об'єкту: "Будівництво кисневої станції з генератором кисню з комплектом обладнання та підключенням корпусів до медичного газопостачання КНП "Стебницька міська лікарня" ДМР за адресою: Львівська обл., м. Стебник, вул. Січових Стрільців,2)</t>
  </si>
  <si>
    <t>Код ДК 021:2015-71240000-2 Архітектурні, інженерні та планувальні послуги (розробка кошторисної документації по об'єкту: "Будівництво централізованого пункту зберігання і розподілу кисню  КНП "Стебницька міська лікарня" ДМР за адресою: Львівська обл., м. Стебник, вул. Січових Стрільців,2)</t>
  </si>
  <si>
    <t>Код ДК 021:2015-71310000-4 Консультаційні послуги у галузях інженерії та будівництва(Проведення експертизи кошторисної частини проекту будівництва та експертизи проекту будівництва в частині забезпечення механічного опору та стійкості: "Капітальний ремонт ліфтового обладнання Комунального некомерційного підприємства "Стебницька міська лікарня" Дрогобицької міської ради із заміною двох лікарняних ліфтів в/п 1275кг на 4 та 5 зупинок за адресою вулиця Січових Стрільців, 2 в місті Стебник Львівської області" Коригування)</t>
  </si>
  <si>
    <t>Код ДК 021:2015-71310000-4 Консультаційні послуги у галузях інженерії та будівництва(Проведення експертизи щодо розгляду кошторисної частини проєктної документації проекту: "Капітальний ремонт фізіотерапевтичного відділення в КНП "Стебницька міська лікарня" ДМР за адресою: Львівська обл., м.Стебник, вул. Січових Стрільців, 2")</t>
  </si>
  <si>
    <t>Код ДК 021:2015-71320000-7 Послуги з інженерного проектування (виготовлення проектно-кошторисної документації на проведення капітального ремонту ліфтового обладнання КНП "Стебницька міська лікарня" ДМР із заміною двох лікарняних ліфтів в/п 1000 кг на 4 та 5 зупинки за адресою: вул. Січових Стрільців, 2, м. Стебник Львівської обл.)</t>
  </si>
  <si>
    <t>Код ДК 021:2015-71320000-7 Послуги з інженерного проектування(Виготовлення проектно-кошторисної документації: Капітальний ремонт фізіотерапевтичного відділення в КНП "Стебницька міська лікарня" ДМР за адресою: Львівська обл., м.Стебник, вул. Січових Стрільців,2)</t>
  </si>
  <si>
    <t>Код ДК 021:2015-71320000-7 Послуги з інженерного проектування(виготовлення проектно-кошторисної документації (Капітальний ремонт кабінету комп'ютерної томографії КНП "Стебницька міська лікарня" ДМР за адресою вул. Січових Стрільців,2, місто Стебник, Львівської області))</t>
  </si>
  <si>
    <t>Код ДК 021:2015-71320000-7 Послуги з інженерного проектування(виготовлення проектно-кошторисної документації (Капітальний ремонт приміщень операційного блоку №1 та ординаторської в КНП "Стебницька міська лікарня" ДМР за адресою вул. Січових Стрільців,2, місто Стебник, Львівської області))</t>
  </si>
  <si>
    <t>Код ДК 021:2015-71320000-7 Послуги з інженерного проектування(виготовлення проектно-кошторисної документації (Капітальний ремонт психоневрологічного відділення в КНП "Стебницька міська лікарня" ДМР за адресою вул. Січових Стрільців,2, місто Стебник, Львівської області))</t>
  </si>
  <si>
    <t>Код ДК 021:2015-71320000-7 Послуги з інженерного проектування(виготовлення проектно-кошторисної документації (Капітальний ремонт хірургічного відділення в КНП "Стебницька міська лікарня" ДМР за адресою вул. Січових Стрільців,2, місто Стебник, Львівської області))</t>
  </si>
  <si>
    <t>Код ДК 021:2015-71330000-0 Інженерні послуги різні (послуги з технічної інвентаризації об'єктів нерухомого майна та виготовлення технічного паспорта за результатами інвентаризації, та їх реєстрація в ЄДЕССБ на приміщення КНП"Стебницька міська лікарня" ДМР  за адресою: м. Стебник, вул. Січових Стрільців,2)</t>
  </si>
  <si>
    <t>Код ДК 021:2015-71520000-9 - Послуги з нагляду за виконанням будівельних робіт (технічний нагляд на об’єкті: Капітальний ремонт психоневрологічного відділення в КНП «Стебницька міська лікарня» ДМР за адресою: Львівська обл., м.Стебник,вул. Січових Стрільців 2)</t>
  </si>
  <si>
    <t>Код ДК 021:2015-71520000-9 Послуги з нагляду за виконанням будівельних робіт (технічний нагляд за виконанням будівельних робіт на об'єкті: "Капітальний ремонт кабінету комп'ютерної томографії в КНП "Стебницька міська лікарня" ДМР за адресою: Львівська обл., м. Стебник, вул. Січових Стрільців, 2")</t>
  </si>
  <si>
    <t>Код ДК 021:2015-71520000-9 Послуги з нагляду за виконанням будівельних робіт (технічний нагляд за виконанням будівельних робіт на об'єкті: "Капітальний ремонт коридору операційного блоку №1 в КНП "Стебницька міська лікарня" ДМР за адресою: Львівська обл., м. Стебник, вул. Січових Стрільців, 2")</t>
  </si>
  <si>
    <t>Код ДК 021:2015-71520000-9 Послуги з нагляду за виконанням будівельних робіт (технічний нагляд за виконанням будівельних робіт на об'єкті: "Капітальний ремонт приміщень перев'язочної та кімнати медсестри в КНП "Стебницька міська лікарня" ДМР за адресою: вул. Січових Стрільців, 2,  м. Стебник, Львівська обл.")</t>
  </si>
  <si>
    <t>Код ДК 021:2015-71520000-9 Послуги з нагляду за виконанням будівельних робіт (технічний нагляд за виконанням будівельних робіт по об'єкту: "Капітальний ремонт санітарно-пропускного пункту №2 та ординаторської з приміщенням підготовки персоналу до санітарної очистки в КНП "Стебницька міська лікарня" ДМР за адресою: Львівська обл.,м. Стебник, вул. Січовиї Стрільців,2)</t>
  </si>
  <si>
    <t>Код ДК 021:2015-71520000-9 Послуги з нагляду за виконанням будівельних робіт (технічний нагляд на об'єкті: "Капітальний ремонт кабінету комп'ютерної томографії в КНП "Стебницька міська лікарня" ДМР за адресою: Львівська обл., м. Стебник, вул. Січових Стрільців, 2")</t>
  </si>
  <si>
    <t>Код ДК 021:2015-71520000-9 Послуги з нагляду за виконанням будівельних робіт(Технічний нагляд на об'єкті: Капітальний ремонт хірургічного віділення в КНП "Стебницька міська лікарня" ДМР за адресою: Львівська обл., м.Стебник, вул. Січових Стрільців, 2)</t>
  </si>
  <si>
    <t>Код ДК 021:2015-71520000-9 Послуги з нагляду за виконанням будівельних робіт(технічний нагляд за виконанням будівельних робіт по об'єкту: "Капітальний ремонт операційного блоку №2 в КНП "Стебницька міська лікарня" ДМР за адресою: Львівська обл., м. Стебник, вул. Січових Стрільців,2")</t>
  </si>
  <si>
    <t>Код ДК 021:2015-71520000-9 Послуги з нагляду за виконанням будівельних робіт(технічний нагляд за об'єктом капітального ремонту: "Капітальний ремонт покрівлі(господарська будівля, баклабораторія) в КНП "Стебницька міська лікарня" ДМР за адресою: Львівська обл., м. Стебник, вул. Січових Стрільців,2")</t>
  </si>
  <si>
    <t>Код ДК 021:2015-71520000-9 Послуги з нагляду за виконанням будівельних робіт(технічний нагляд за об'єктом капітального ремонту: "Капітальний ремонт покрівлі(господарська будівля, прачечна) в КНП "Стебницька міська лікарня" ДМР за адресою: Львівська обл., м. Стебник, вул. Січових Стрільців,2")</t>
  </si>
  <si>
    <t>Код ДК 021:2015-71530000-2 Консультаційні послуги в галузі будівництва (проведення експертизи кошторисної частини проектної документації об'єкта будівництва згідно робочого проекту : "Капітальний ремонт кабінету комп'ютерної томографії КНП "Стебницька міська лікарня" ДМР за адресою: вул. Січових Стрільців,2, м. Стебник, Львівська обл.")</t>
  </si>
  <si>
    <t>Код ДК 021:2015-71530000-2 Консультаційні послуги в галузі будівництва (проведення експертизи кошторисної частини проектної документації об'єкта будівництва згідно робочого проекту : "Капітальний ремонт приміщень операційного блоку№1 та ординаторської в  КНП "Стебницька міська лікарня" ДМР за адресою: вул. Січових Стрільців,2, м. Стебник, Львівська обл.")</t>
  </si>
  <si>
    <t>Код ДК 021:2015-71530000-2 Консультаційні послуги в галузі будівництва(проведення експертизи кошторисної частини проектної документації проекту:"Капітальний ремонт психоневрологічного відділення в КНП "Стебницька міська лікарня"  ДМР за адресою: Львівська обл., м.Стебник, вул. Січових Стрільців, 2".</t>
  </si>
  <si>
    <t>Код ДК 021:2015-71530000-2 Консультаційні послуги в галузі будівництва(проведення експертизи кошторисної частини проектної документації проекту:"Капітальний ремонт хірургічного відділення в КНП "Стебницька міська лікарня" ДМР за адресою: Львівська обл., м.Стебник, вул. Січових Стрільців, 2".</t>
  </si>
  <si>
    <t>Код ДК 021:2015-71530000-2 Консультаційні послуги в галузі будівництва(проведення експертизи кошторисної частини проекту будівництва:"Капітальний ремонт ліфтового обладнання в КНП "Стебницька міська лікарня" ДМР із заміною двох лікарняних ліфтів в/п 1000 кг на 4 та 5 зупинки за адресою: Львівська обл., м.Стебник, вул. Січових Стрільців, 2"</t>
  </si>
  <si>
    <t>Код ДК 021:2015-71610000-7 Послуги з випробувань та аналізу складу і чистоти(Проведення знежирення  трубопроводів по всій системі киснезабезпечення, Технологічна ревізія кранів, Гідравлічні випробування, Пневматичні випробування)</t>
  </si>
  <si>
    <t>Код ДК 021:2015-71610000-7 Послуги з випробувань та аналізу складу і чистоти(Проведення знежирення трубопроводів по всій системі киснезабезпечення, Технологічна ревізія кранів, Гідравлічні випробування, Пневматичні випробування)</t>
  </si>
  <si>
    <t>Код ДК 021:2015-71630000-3 Послуги з технічного огляду та випробовувань (випробування електрозахисних ізолюючих засобів)</t>
  </si>
  <si>
    <t>Код ДК 021:2015-71630000-3 Послуги з технічного огляду та випробовувань (електролабораторні вимірювання кабінету комп'ютерної томографії КНП "Стебницька міська лікарня" ДМР за адресою: вул. Січових Стрільців, 2, м. Стебник, Львівська обл.)</t>
  </si>
  <si>
    <t>Код ДК 021:2015-71630000-3 Послуги з технічного огляду та випробовувань (первинний технічний огляд парового стерилізатора)</t>
  </si>
  <si>
    <t>Код ДК 021:2015-71630000-3 Послуги з технічного огляду та випробовувань (позачерговий технічний огляд 2-х паровиз стерилізаторів)</t>
  </si>
  <si>
    <t>Код ДК 021:2015-71630000-3 Послуги з технічного огляду та випробовувань (технічне діагностування 2-х парових стерилізаторів, видача висновків після техдіагностики)</t>
  </si>
  <si>
    <t>Код ДК 021:2015-71630000-3 Послуги з технічного огляду та випробовувань(Послуги з повірки, контролю метрологічних характеристик, калібрування засобів вимірювальної техніки (ЗВТ) та інших метрологічних  послуг)</t>
  </si>
  <si>
    <t>Код ДК 021:2015-72260000-5 Послуги, пов’язані з програмним забезпеченням (послуги з супроводу програмного забезпечення-комп'ютерної програми та бази "Облік медичних кадрів України")</t>
  </si>
  <si>
    <t>Код ДК 021:2015-72260000-5 Послуги, пов’язані з програмним забезпеченням (послуги з супроводу програмного забезпечення-комп'ютерної програми та бази даних "Медична статистика")</t>
  </si>
  <si>
    <t>Код ДК 021:2015-72260000-5 Послуги, пов’язані з програмним забезпеченням (супровід та обслуговування автоматизованої системи "Зарплата")</t>
  </si>
  <si>
    <t>Код ДК 021:2015-72710000-0 Послуги у сфері локальних мереж (монтаж та налаштування локальної мережі)</t>
  </si>
  <si>
    <t>Код ДК 021:2015-75250000-3 Послуги пожежних і рятувальних служб  (перевірка та випробовування протипожежного водопостачання КНП "Стебницька міська лікарня"ДМР за адресою: м. Стебник, вул. Січових Стрільців, 2)</t>
  </si>
  <si>
    <t xml:space="preserve">Код ДК 021:2015-79710000-4 Охоронні послуги </t>
  </si>
  <si>
    <t>Код ДК 021:2015-79713000-5 Послуги з охорони об’єктів та особистої охорони</t>
  </si>
  <si>
    <t xml:space="preserve">Код ДК 021:2015-80510000-2 Послуги з професійної підготовки спеціалістів (Підтвердження ІІ-V групи з електробезпеки на виробництві осіб, відповідальних за безпечне проведення робіт при експлуатації електроустановок споживачів згідно вимог ПБЕЕС) </t>
  </si>
  <si>
    <t>Код ДК 021:2015-80510000-2 Послуги з професійної підготовки спеціалістів (навчання ІТП по "Правила безпеки системи газопостачання" (НПАОП 0.00-1.76-15))</t>
  </si>
  <si>
    <t>Код ДК 021:2015-80510000-2 Послуги з професійної підготовки спеціалістів (навчання головної медсестри Програма "Інфекційний контроль: як працювати за новими вимогами")</t>
  </si>
  <si>
    <t>Код ДК 021:2015-80510000-2 Послуги з професійної підготовки спеціалістів (навчання на курсах "Публічні закупівлі в Україні")</t>
  </si>
  <si>
    <t>Код ДК 021:2015-80510000-2 Послуги з професійної підготовки спеціалістів (навчання на циклі спеціалізації "Загальна практика-сімейна медицина")</t>
  </si>
  <si>
    <t>Код ДК 021:2015-80510000-2 Послуги з професійної підготовки спеціалістів (навчання осіб, відповідальних за ведення робіт при експлуатації  електроустановок споживачів згідно вимог ПБЕЕС для присвоєння II-V групи з електробезпеки)</t>
  </si>
  <si>
    <t>Код ДК 021:2015-80510000-2 Послуги з професійної підготовки спеціалістів (навчання робітників з експлуатації вантажопідіймальних машин, що керуються з підлоги)</t>
  </si>
  <si>
    <t>Код ДК 021:2015-80510000-2 Послуги з професійної підготовки спеціалістів (переатестація посадових осіб і фахівців з питань охорони праці)</t>
  </si>
  <si>
    <t>Код ДК 021:2015-80510000-2 Послуги з професійної підготовки спеціалістів(Навчання робітників, які допускаються до обслуговування посудин, що працюють під тиском)</t>
  </si>
  <si>
    <t>Код ДК 021:2015-80520000-5 Навчальні засоби (80522000-9-Навчальні семінари)</t>
  </si>
  <si>
    <t>Код ДК 021:2015-80520000-5 Навчальні засоби (інформаційні консультативні послуги)</t>
  </si>
  <si>
    <t>Код ДК 021:2015-80520000-5 Навчальні засоби(Тематичне удосконалення на циклі семінарів: Сучасні методи проведення попередніх, періодичних та позачергових психіатричних оглядів( реєстраційний номер заходу БПР 1006900),Моніторинг наркоситуації в Україні, організація та стандартизація психіатричної допомоги( реєстраційний номер заходу БПР 1006901), Діагностика хронічної алкогольної залежності методом капілярного електрофорезу з визначенням карбогідрат-негативного трансферину при проведенні попередніх, періодичних та позачергових психіатричних оглядів(реєстраційний номер заходу БПР 1006902)</t>
  </si>
  <si>
    <t>Код ДК 021:2015-80550000-4 Послуги з професійної підготовки у сфері безпеки (спеціальна підготовка з правом проведення інструктажів)</t>
  </si>
  <si>
    <t>Код ДК 021:2015-80570000-0 Послуги з професійної підготовки у сфері підвищення кваліфікації(Навчання з питань організації та здійснення публічних закупівель на тему "ПУБЛІЧНІ ЗАКУПІВЛІ В УМОВАХ ВОЄННОГО СТАНУ")</t>
  </si>
  <si>
    <t>Код ДК 021:2015-85110000-3 Послуги лікувальних закладів та супутні послуги</t>
  </si>
  <si>
    <t>Код ДК 021:2015-85110000-3 Послуги лікувальних закладів та супутні послуги (консультативно-діагностичні послуги)</t>
  </si>
  <si>
    <t>Код ДК 021:2015-85110000-3 Послуги лікувальних закладів та супутні послуги (проведення цитологічних досліджень)</t>
  </si>
  <si>
    <t>Код ДК 021:2015-85110000-3 Послуги лікувальних закладів та супутні послуги(Консультативно-діагностичні та лаболаторно-діагностичні послуги у сфері діагностики, лікування та профілактики ВІЛ-інфекції/СНІДу)</t>
  </si>
  <si>
    <t>Код ДК 021:2015-85110000-3 Послуги лікувальних закладів та супутні послуги(Лаболаторні дослідження)</t>
  </si>
  <si>
    <t>Код ДК 021:2015-85110000-3 Послуги лікувальних закладів та супутні послуги(Медичні послуги з проведення спеціалізованих лаболаторно-діагностичних досліджень)</t>
  </si>
  <si>
    <t>Код ДК 021:2015-85110000-3 Послуги лікувальних закладів та супутні послуги(Послуги на проведення цитологічних досліджень)</t>
  </si>
  <si>
    <t>Код ДК 021:2015-85110000-3 Послуги лікувальних закладів та супутні послуги(Послуги проведення паталогогістологічних досліджень біопсійного та операційних матеріалів; паталоаганатомічне дослідження тіл померлих як в закладах охорони здоров'я, так і вдома)</t>
  </si>
  <si>
    <t>Код ДК 021:2015-85140000-2 Послуги у сфері охорони здоров’я різні</t>
  </si>
  <si>
    <t>Код ДК 021:2015-85140000-2 Послуги у сфері охорони здоров’я різні (Відшкодування вартості лікарських засобів, відпущених за безкоштовними та пільговими рецептами, а саме: наркотичними засобами, психотропними речовинами, відповідно до постанови КМУ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</si>
  <si>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Код ДК 021:2015-85140000-2 Послуги у сфері охорони здоров’я різні (відшкодування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</si>
  <si>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 xml:space="preserve">Код ДК 021:2015-85140000-2 Послуги у сфері охорони здоров’я різні (відшкодування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t>
  </si>
  <si>
    <t>Код ДК 021:2015-85140000-2 Послуги у сфері охорони здоров’я різні (відшкодування понесених витрат від забезпечення технічними та іншими засобами пільгових верств населення, відповідно до Постанови Кабінету міністрів України №1301 від 03.12.1998р. "Про затвердження Порядку забезпечення інвалідів і дітей-інвалідів технічними та іншими засобами")</t>
  </si>
  <si>
    <t>Код ДК 021:2015-85140000-2 Послуги у сфері охорони здоров’я різні (відшкодування понесених витрат від забезпечення технічними та іншими засобами пільгових верств населення, відповідно до Постанови Кабінету міністрів України №1301 від 03.12.1998р. "Про затвердження Порядку забезпечення інвалідів і діткй-інвалідів технічними та іншими засобами")</t>
  </si>
  <si>
    <t>Код ДК 021:2015-85140000-2 Послуги у сфері охорони здоров’я різні (контроль за якістю поживних середовищ (титраційний метод))</t>
  </si>
  <si>
    <t>Код ДК 021:2015-85140000-2 Послуги у сфері охорони здоров’я різні (проведення  радіаційного контролю для нового рентгенологічного обладнання)</t>
  </si>
  <si>
    <t>Код ДК 021:2015-85140000-2 Послуги у сфері охорони здоров’я різні (проведення гігієнічного навчання громадян (за одного слухача за одну годину), професійна чи ін. діяльність яких пов'язана з небезпечними факторами, обслуговуванням населення, з метою запобігання винекненню захворювань, поширенню масових інфекційних захворювань)</t>
  </si>
  <si>
    <t>Код ДК 021:2015-85140000-2 Послуги у сфері охорони здоров’я різні (проведення розрахунку радіаційного (біологічного) стаціонарного захисту для встановлення нового рентгенологічного обладнання, надання консультаційної допомоги з питань радаіційної безпеки)</t>
  </si>
  <si>
    <t>Код ДК 021:2015-85140000-2 Послуги у сфері охорони здоров’я різні(Відшкодування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</si>
  <si>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Код ДК 021:2015-85140000-2 Послуги у сфері охорони здоров’я різні(Відшкодування понесених витрат від забезпечення лікарськими засобами, пільгових верств населення, відповідно до Постанови Кабінету міністрів України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</si>
  <si>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Код ДК 021:2015-85140000-2 Послуги у сфері охорони здоров’я різні(Відшкодування понесених витрат від забезпечення технічними та іншими засобами пільгових верств населення, відповідно до Постанови Кабінету міністрів України №1301 від 03.12.1998р. "Про затвердження Порядку забезпечення інвалідів і дітей-інвалідів технічними та іншими засобами")</t>
  </si>
  <si>
    <t>Код ДК 021:2015-85140000-2 Послуги у сфері охорони здоров’я різні(Медичний огляд для працівників занятих на важких роботах із шкідливими чи небезпечними умовами праці(заключний висновок))</t>
  </si>
  <si>
    <t>Код ДК 021:2015-85140000-2 Послуги у сфері охорони здоров’я різні(Проведення періодичного радіаційного контролю)</t>
  </si>
  <si>
    <t>Код ДК 021:2015-90430000-0 Послуги з відведення стічних вод</t>
  </si>
  <si>
    <t>Код ДК 021:2015-90510000-5 Утилізація/видалення сміття та поводження зі сміттям</t>
  </si>
  <si>
    <t>Код ДК 021:2015-90510000-5 Утилізація/видалення сміття та поводження зі сміттям (послуги з подрібнення і вивезення гілля з території КНП "Стебницька міська лікарня" ДМР)</t>
  </si>
  <si>
    <t>Код ДК 021:2015-90510000-5 Утилізація/видалення сміття та поводження зі сміттям(Послуги з повадження з побутовими відходами)</t>
  </si>
  <si>
    <t>Код ДК 021:2015-90520000-8 Послуги у сфері поводження з радіоактивними, токсичними, медичними та небезпечними відходами (Послуги по збору, перевезенню, зберіганню та утилізації інфікованих відходів від діяльності відділення по наданню медичної допомоги хворим на корона вірусну хворобу COVID-19)</t>
  </si>
  <si>
    <t>Код ДК 021:2015-90520000-8 Послуги у сфері поводження з радіоактивними, токсичними, медичними та небезпечними відходами (клінічні та подібні їм відходи (голки,скарифікатори, дзеркала, шприци, вага, бинт, перев'язувальні матеріали, системи, рукавички та ін.,засоби індивідуального захисту, інфіковані та потенційно інфіковані (COVID), біологічні відходи та анатомічні)</t>
  </si>
  <si>
    <t>Код ДК 021:2015-90920000-2 Послуги із санітарно-гігієнічної обробки приміщень (Дератизація приміщення лікарні, дезінфекція приміщення харчоблоків)</t>
  </si>
  <si>
    <t>Код ДК 021:2015-98110000-7 Послуги підприємницьких, професійних та спеціалізованих організацій (розробка проекту тарифів на медичні послуги, адміністративне супроводження договору)</t>
  </si>
  <si>
    <t>Код ДК 021:2015-98110000-7 Послуги підприємницьких, професійних та спеціалізованих організацій (сертифікація систем управління якістю на відповідність ДСТУ ISO 9001:2015)</t>
  </si>
  <si>
    <t>Код ДК 021:2015-98390000-3 Інші послуги (оренда кисневих балонів (37 шт))</t>
  </si>
  <si>
    <t>Код ДК 021:2015-98390000-3 Інші послуги (оренда кисневих балонів)</t>
  </si>
  <si>
    <t>Код ДК 021:2015: 33160000 - 9 Устаткування для операційних блоків (Відеогістероскоп (код НК 024:2019 -63256- Жорсткий відеогістероскоп)</t>
  </si>
  <si>
    <t>Код ДК 021:2015: 33160000 - 9 Устаткування для операційних блоків (Медичне обладнання для проведення ЛОР-втручань (відеоендоскопічна система (код НК 024:2019-35616 - Система ендоскопічної візуалізації))</t>
  </si>
  <si>
    <t>Код ДК 021:2015: 33160000 - 9 Устаткування для операційних блоків (НК 024:2019  – 32043 Лапароскопічний набір для хірургічних процедур, немедикаментозний, багаторазовий (Лапароскопічний набір для хірургічних процедур)</t>
  </si>
  <si>
    <t>Код ДК 021:2015: 33160000 - 9 Устаткування для операційних блоків (НК 024:2019  – 32043 Лапароскопічний набір для хірургічних процедур, немедикаментозний, багаторазовий (Лапароскопічний набір для хірургічних процедур).</t>
  </si>
  <si>
    <t>Код ДК 021:2015: 33160000-9 - Устаткування для операційних блоків (Ендоскопічний відеозаписуючий пристрій Full HD (НК 024:2019  – 63260 Блок запису ендоскопічного відеозображення))</t>
  </si>
  <si>
    <t>Код ДК 021:2015: 33170000-2 Обладнання для анестезії та реанімації (Апарат наркозно-дихальний (Код НК 024:2019 47244 Апарат штучної вентиляції легенів загального призначення для інтенсивної терапії)</t>
  </si>
  <si>
    <t>Код ДК 021:2015: 33190000-8 - Медичне обладнання та вироби медичного призначення різні( Монітор пацієнта (НК 024:2019  – 33586 Система моніторингу фізіологічних показників одного пацієнта))</t>
  </si>
  <si>
    <t>Код ДК 021:2015: 33190000-8 - Медичне обладнання та вироби медичного призначення різні(Насос шприцевий (НК 024:2019  – 13217 Шприцева помпа))</t>
  </si>
  <si>
    <t>Код ДК 021:2015: 33690000-3 - Лікарські засоби різні (Сечові смужки LabAnalyt 11G(Код НК 024:2019: 54514 Численні аналіти сечі IVD, набір, колориметрична тест-смужка, експрес-аналіз))</t>
  </si>
  <si>
    <t>Код ДК 021:2015: 39830000-9 - Продукція для чищення  (Мило для рук і тіла: Бланідас Софт (Blanidas Soft), 5000 мл, Крем косметичний для шкіри рук та тіла антибактеріальний «Лізодерм плюс (Lysoderm plus)», 500 мл , Рукавичка «ЧистоТіл Пацієнт», упаковка 10 шт, Шапочка "ЧистоТіл" для гігієнічного миття голови, Професійний концентрований засіб для миття всіх видів поверхонь «Білизна поверхня (™ Bilysna surface)», 5000 мл , Серветки OnClean (для поверхонь), 120 шт в м‘якій упаковці , Професійний засіб для миття дзеркальних та скляних поверхонь «Білизна скло(™ Bilysna glass)», 5000 мл , Професійний засіб для видалення іржі (для інструментів) «Білизна анти іржа (™ Bilysna anti corrosion)»,  1000 мл , Професійний концентрований засіб для ручного миття посуду «Білизна посуд (™ Bilysna tableware)», 1000 мл , Професійний засіб для миття та очищення ванних кімнат «Білизна кераміка (™ Bilysna ceramics)», 5000 мл , Професійний засіб для генерального прибирання санітарних кімнат «Білизна WC  (™ Bilysna WC)», 1000 мл , Засіб для очищення поверхонь та нейтралізації неприємних запахів «Білизна медкомфорт) (™ Bilysna medical comfort)», 750 мл , Засіб для прання білизни «Білизна проф еліт для білих речей», 5000 мл, Засіб для прання білизни «Білизна проф еліт універсальний», 5000 мл, Рідкий миючий засіб для рук STERISOL Hand Cleanser)</t>
  </si>
  <si>
    <t>Код ДК 021:2015: 45450000-6 Інші завершальні будівельні роботи(Капітальний ремонт хірургічного відділення в КНП «Стебницька міська лікарня» ДМР за адресою: Львівська обл., м. Стебник, вул. Січових Стрільців, 2)</t>
  </si>
  <si>
    <t>Код ДК 021:2015:33600000-6 Фармацевтична продукція(Інфулган розчин для інфузій 10 мг/мл по 100 мл,Натрію хлорид розчин для інфузій 9 мг/мл по 200 мл,Розчин Рінгера розчин для інфузій  по 200 мл)</t>
  </si>
  <si>
    <t xml:space="preserve">Код ДК 021:2015:33600000-6 Фармацевтична продукція(Алмірал р-н д/ін. 75 мг амп. 3 мл №10, Аміак р-н д/зовн. застос. 10 % фл. 40 мл №1, Аміназин р-н д/ін. 25 мг/мл амп. 2 мл, у блістері в коробці №10 , Кислота амінокапронова р-н д/інф. 5 % пляшка 100 мл №1, АКТОВЕГІН розчин для ін'єкцій по 5 мл (200 мг) в ампулі, по 5 ампулі у картонній коробці , Анальгін-Дарниця р-н д/ін. 500 мг/мл амп. 2 мл, контурн. чарунк. yп., пачка №10 ,Аспаркам р-н д/ін. амп. 5 мл, блістер у пачці №10 ,Аргітек р-н д/інф. 8 мг/мл фл. 250 мл №1,Бензогексоній-Здоров'я р-н д/ін. 2,5 % амп. 1 мл, у блістері в коробці №10,Бетадин р-н д/зовн. та місц. застос. 10 % фл. з крапельн. 120 мл №1 ,Бромкриптин-КВ табл. 2,5 мг блістер №30 ,Вікасол-Дарниця р-н д/ін. 10 мг/мл амп. 1 мл, контурн. чарунк. yп., пачка №10,Піридоксин-Дарниця (вітамін В6-Дарниця) р-н д/ін. 50 мг/мл амп. 1 мл, контурн. чарунк. уп. №10,Ціанокобаламін-Дарниця (вітамін В12-Дарниця) р-н д/ін. 0,5 мг/мл амп. 1 мл, контурн. чарунк. yп., пачка №10,Гіоксизон мазь туба 15 г №1,Гідрокортизону ацетат сусп. д/ін. 2,5 % амп. 2 мл №10,Гідазепам ІС® табл. 0,02 г блістер №20,Глутаргін конц. д/р-ну д/інф. 400 мг/мл амп. 5 мл, у бліст. у коробках №10 ,Глюкоза р-н д/інф. 100 мг/мл пляшка 200 мл №1,Глюкоза р-н д/ін. 40 % амп. 10 мл №10,Глюкоза р-н д/ін. 40 % амп. 20 мл №10 ,Декасан р-н 0,2 мг/мл пляшка скляна 200 мл №1 ,Діоксидин р-н 10 мг/мл амп. 10 мл, в пачці №10 ,Диклофенак-Дарниця р-н д/ін. 25 мг/мл амп. 3 мл, контурн. чарунк. yп., пачка №10,Дибазол-Дарниця р-н д/ін. 10 мг/мл амп. 1 мл, контурн. чарунк. yп., пачка №10 ,Димедрол-Дарниця р-н д/ін. 10 мг/мл амп. 1 мл, контурн. чарунк. yп., пачка №10 ,Дигоксин р-н д/ін. 0,25 мг/мл амп. 1 мл, в пачці №10 ,Дитилін-Біолік р-н д/ін. 20 мг/мл амп. 5 мл №10,Дротаверин-Дарниця р-н д/ін. 20 мг/мл амп. 2 мл, контурн. чарунк. yп., пачка №5,Нормагут капс. блістер №10,Етамзилат р-н д/ін. 12,5 % амп. 2 мл, в пачці №10,Еуфілін-Дарниця р-н д/ін. 20 мг/мл амп. 5 мл №10,Ізосол р-н д/інф. контейнер 500 мл №1,Ізо-Мік конц. д/р-ну д/інф. 0,1 % амп. 10 мл, касета, вкладена у пачку №10№10,Карведилол-КВ табл. 25 мг блістер, в пачці №30,Карбамазепін-Дарниця табл. 200 мг контурн. чарунк. уп. №50,Калію хлорид конц. д/р-ну д/інф. 7,5 % фл. 10 мл №1,Кветирон 25 табл. в/плівк. обол. 25 мг №30,Кветирон 100 табл. в/плівк. обол. 100 мг №60,Кетолонг-Дарниця р-н д/ін. 30 мг/мл амп. 1 мл, контурн. чарунк. yп., пачка №10,Клопіксол табл. в/о 10 мг контейнер, у карт. коробці №100,Клофраніл табл. в/плівк. обол. 25 мг стрип №50 ,Кордіамін-Здоров'я р-н д/ін. 250 мг/мл амп. 2 мл, коробка №10 ,Кофеїн-бензоат натрію р-н д/ін. 200 мг/мл амп. 1 мл, в пачці №10,Корвалмент капс. м'які 0,1 г блістер №30,Левомеколь мазь туба 40 г №1,Лонгокаїн® Хеві р-н д/ін. 5 мг/мл фл. 5 мл, в пачці №5,Лідокаїн-Здоров'я р-н д/ін. 100 мг/мл амп. 2 мл, у коробках №10,Лінімент бальзамічний (за О.В. Вишневським) лінімент туба 25 г №1,Мезатон р-н д/ін. 10 мг/мл амп. 1 мл, блістер у пачці №10,Налбуфін р-н д/ін. 10 мг/мл амп. 2 мл, блістер у пачці №5,Налоксон-ЗН р-н д/ін. 0,4 мг/мл амп. 1 мл, коробка №10,Новокаїн-Дарниця р-н д/ін. 20 мг/мл амп. 2 мл, контурн. чарунк. yп., пачка №10,Новокаїн р-н д/інф. 0,5 % пляшка 200 мл №1,Золопент табл. в/о кишково-розч. 40 мг блістер №30,Папаверин-Дарниця р-н д/ін. 20 мг/мл амп. 2 мл, контурн. чарунк. yп., пачка №10,Платифілін-Дарниця р-н д/ін. 2 мг/мл амп. 1 мл, контурн. чарунк. yп., пачка №10,Перекис водню р-н д/зовн. застос. 3 % фл. полімер. 200 мл №1,Плазмовен р-н д/інф. фл. 500 мл №1,Стерофундин ISO р-н д/інф. контейнер 500 мл №10,Прегабалін-Дарниця капс. 75 мг контурн. чарунк. уп. №21,Прозерин-Дарниця р-н д/ін. 0,5 мг/мл амп. 1 мл №10,Піофаг® бактеріофаг полівалентний р-н фл. 20 мл, пачка картон. №4,Пірацетам р-н д/ін. 20 % амп. 10 мл, блістер у пачці №10 ,Реналган р-н д/ін. амп. 5 мл, блістер у пачці №5 ,Реосорбілакт р-н д/інф. пляшка 200 мл №1 ,Рефордез-Новофарм р-н д/інф. 60 мг/мл пляшка 400 мл №1,Рибоксин-Дарниця р-н д/ін. 20 мг/мл амп. 5 мл №10 ,Симбія капс. кишково-розч. 30 мг блістер №28 ,Спіронолактон-Дарниця табл. 25 мг контурн. чарунк. уп., пачка №30 ,Спирт мурашиний р-н спирт. д/зовн. застос. фл. 50 мл №1,Сульпірид-ЗН р-н д/ін. 50мг/мл амп. 2мл №10 ,Супрастин р-н д/ін. 20 мг амп. 1 мл №5 ,Тизерцин табл. в/о 25 мг фл. №50,Трисоль р-н д/інф. пляшка 200 мл №1,Трифтазин-Дарниця р-н д/ін. 2 мг/мл амп. 1 мл №10 ,Тіотриазолін р-н д/ін. 25 мг/мл амп. 2 мл №10 ,Ультракаїн ДС карпули 1,7мл №100 ,Хлоргексидин р-н д/зовн. застос. 0,05 % фл. з кришкою-крапельницею 100 мл №1,Ципрофлоксацин табл. в/о 500 мг блістер №10,Ципрофлоксацин-Новофарм р-н д/інф. 2 мг/мл пляшка 100 мл №1,Беноксі крап. оч. 0,4 % контейнер-крапельн. 10 мл №1,Тропікамід-Фармак крап. оч. 1 % фл. 10 мл №1,Брильянтовий зелений р-н спирт. д/зовн. застос. 1 % фл. 20 мл №1,Кокарбоксилаза р-н. д/ін. 50мг/2мл амп. 2мл №10, Пантенол аерозоль піна нашкірна контейнер 116 г №1 
</t>
  </si>
  <si>
    <t>Код ДК 021:2015– 24450000-3 Агрохімічна продукція (Серветки Манорапід преміум клінік у м’якій упаковці з клапаном, 100 шт, Засіб дезінфікуючий "Бланідас 300 (Blanidas 300)"гранули, 1 кг)</t>
  </si>
  <si>
    <t>Код ДК 021:2015–-33190000-8 - Медичне обладнання та вироби медичного призначення різні(Коробка стерилізаційна  КСК-3(код НК024:2019-13730 Стерилізаційний контейнер), Коробка стерилізаційна кругла КСК-6(код НК024:2019-13730 Стерилізаційний контейнер), Коробка стерилізаційна  КСК-9(код НК024:2019-13730 Стерилізаційний контейнер), Коробка стерилізаційна кругла КСК-12(код НК024:2019-13730 Стерилізаційний контейнер), Коробка стерилізаційна кругла КСК-18(код НК024:2019-13730 Стерилізаційний контейнер))</t>
  </si>
  <si>
    <t>Код ДК 021:2015–15610000-7 - Продукція борошномельно-круп'яної промисловості (крупи: рис, ячмінна, вівсяні пластівці, пшоно, перлова, гречана крупа, борошно в/г)</t>
  </si>
  <si>
    <t>Код ДК 021:2015–33600000-6 Фармацевтична продукція (Кислота амінокапронова розчин для інфузій 50 мг/мл по 100мл, Еуфілін, розчин для ін’єкцій, 20 мг/мл по 5 мл в ампулі №10, Кейдекс Ін’єкт, розчин для ін’єкцій, 25 мг/мл по 2 мл в ампулі №5, Реосорбілакт розчин для інфузій по 200 мл, Реосорбілакт розчин для інфузій по 400 мл)</t>
  </si>
  <si>
    <t>Код ДК 021:2015–33600000-6 Фармацевтична продукція(Регідрон пор. 18,9 г №20, Регідрон-Оптім пор. д/орал. р-ну 10,7 г №20, Бісептол табл. 480 мг №20)</t>
  </si>
  <si>
    <t>Код ДК 021:2019-71520000-9 Послуги з нагляду за виконанням будівельних робіт(Технічний нагляд на об'єкті: Капітальний ремонт кабінетів №9,13 та коридору в адміністративному корпусі  КНП "Стебницька міська лікарня" ДМР за адресою: вул. Січових Стрільців, 2,  місто Стебник, Львівська область)</t>
  </si>
  <si>
    <t>Код ДК 201:2015-72260000-5 Послуги, пов’язані з програмним забезпеченням (постачання примірника пакетів оновлень комп'ютерної програми "M.E.Doc". Модуль "M.E.Doc Звітність" з правом використання на рік, постачання примірника пакетів оновлень комп'ютерної програми "M.E.Doc". Модуль "M.E.Doc Електронний документообіг" (базовий) з правом використання на рік)</t>
  </si>
  <si>
    <t>Код ДКМ 021:2015-19520000-7 Пластмасові вироби (табличка на екобонді)</t>
  </si>
  <si>
    <t>Код дК 021:2015-50310000-1 Технічне обслуговування і ремонт офісної техніки (заправка картриджів принтерів Canon/HP в кількості 6 шт)</t>
  </si>
  <si>
    <t>Коліно НПВХ 110/30 зовн.; Коліно НПВХ 110/45 зовн.; Трійник НПВХ 110/90 зовн.; Трійник НПВХ 110/45 зовн.; Ревізія НПВХ 110 зовн.</t>
  </si>
  <si>
    <t>Комбінезон TYVEK 500 Xpert білий (TYCHF5SWHXP) XL(код НК 024:2019 - 16176 Ізолювальний костюм); Комбінезон TYVEK 500 Xpert білий (TYCHF5SWHXP) XXL(код НК 024:2019 - 16176 Ізолювальний костюм)</t>
  </si>
  <si>
    <t>Консультативно-діагностичні та лаболаторно-діагностичні послуги у сфері діагностики, лікування та профілактики ВІЛ-інфекції/СНІДу</t>
  </si>
  <si>
    <t>Контейнер; Відро з кришкою; Кришка для відра; Корзина для сміття; Швабра 100% мікрофібра; Миска пластмасова/таз 30л; Миска пластмасова/таз 25л; Відро фіолет 7л з кришкою; Таз круглий 10л Маестро; Відро біле харч+кришка герметик; Відро гомпод 14л</t>
  </si>
  <si>
    <t>Контроль потужності доз випромінювання на робочих місцях персоналу, у приміщеннях і на території, суміжних з процедурною рентгенівського кабінету з оформленням протоколу дозиметричного контролю нового рентгенівського обладнення; Перевірку радіаційного виходу рентгенівського апарату за допомогою прямих вимірювань з оформленням протоколу для нового рентгенівського обладнення; Переоформлення та видача технічного паспорту рентгенівського кабінету; Надання консультаційної допомоги з питань радіаційної безпеки</t>
  </si>
  <si>
    <t>Коробка для стерилізації  160 х120 мм (КСК-3 код НК024:2019-13730 Стерилізаційний контейнер); Коробка для стерилізації, 240 х 160 мм (КСК-6 код НК024:2019-13730 Стерилізаційний контейнер); Коробка для стерилізації,  290 х 160 мм (КСК-9 код НК024:2019-13730 Стерилізаційний контейнер); Коробка для стерилізації, 340 х 160 мм (КСК-12 код НК024:2019-13730 Стерилізаційний контейнер); Коробка для стерилізації, 390 х 190 мм (КСК-18 код НК024:2019-13730 Стерилізаційний контейнер)</t>
  </si>
  <si>
    <t>Коробка для стерилізації  160 х120 мм (КСК-3 код НК024:2019-13730 Стерилізаційний контейнер); Коробка для стерилізації, 340 х 160 мм (КСК-12 код НК024:2019-13730 Стерилізаційний контейнер); Коробка для стерилізації, 390 х 190 мм (КСК-18 код НК024:2019-13730 Стерилізаційний контейнер); Лоток з нержавіючої сталі  н/п 260мм (код НК024:2019-12143-лоток для інструментів); Лоток з нержавіючої сталі  н/п 200мм (код НК024:2019-12143-лоток для інструментів)</t>
  </si>
  <si>
    <t>Коробка стерилізаційна  КСК-3(код НК024:2019-13730 Стерилізаційний контейнер); Коробка стерилізаційна кругла КСК-6(код НК024:2019-13730 Стерилізаційний контейнер); Коробка стерилізаційна  КСК-9(код НК024:2019-13730 Стерилізаційний контейнер); Коробка стерилізаційна кругла КСК-12(код НК024:2019-13730 Стерилізаційний контейнер); Коробка стерилізаційна кругла КСК-18(код НК024:2019-13730 Стерилізаційний контейнер)</t>
  </si>
  <si>
    <t>Корок заглушка; Ревізія; Муфта зєднювальна; Трійник</t>
  </si>
  <si>
    <t>Кран шар,вода; Кран водяний RS BB3/4 (червоний метелик) нікель; Кран водяний RS B3 3/4 (червоний метелик) нікель; Кран шар. з американкою; Муфта чавун; Стал.Згон 50; Стал. Різьба коротка 50</t>
  </si>
  <si>
    <t>Крейда фасована 2 кг</t>
  </si>
  <si>
    <t>Круг обрізний по металу</t>
  </si>
  <si>
    <t>Круг обрізний по металу 230</t>
  </si>
  <si>
    <t>Круг по метал. та нерж. 125х1,2х22,2 Baltik; Диск відрізний по метал.Ninja"Virok" 125х22,23х1,0мм; Диск відрізний по метал.Ninja"Virok" 125х22,23х1,2мм</t>
  </si>
  <si>
    <t>Крупа манна; Крупа Пшоно Джміль 1кг; Пластівці Вівсяні Джміль 1кг; Гречка Ранок 1кг; Рис Круглий 555/Джміль 1кг</t>
  </si>
  <si>
    <t>Кріплення умивальника до стіни КР 810 8х100 білий(2шт)</t>
  </si>
  <si>
    <t>Крісло туалет(код НК 024:2019-40539)</t>
  </si>
  <si>
    <t>Кутник метал. 3 м; Кутник метал. 200*300</t>
  </si>
  <si>
    <t>Л 20/38/22</t>
  </si>
  <si>
    <t>Л19/39/22</t>
  </si>
  <si>
    <t>Л23/50/22</t>
  </si>
  <si>
    <t>Л24/51/22</t>
  </si>
  <si>
    <t>Л33/106/22</t>
  </si>
  <si>
    <t>Л36/107/22</t>
  </si>
  <si>
    <t>ЛІП-00000022/475/22</t>
  </si>
  <si>
    <t>ЛАЗОЛЕКС, розчин для ін'єкцій, 7,5 мг/мл, по 2 мл в ампулі; по 5 ампул у пачці з картону</t>
  </si>
  <si>
    <t>ЛЕСИШИН ЛАРИСА ВАСИЛІВНА</t>
  </si>
  <si>
    <t>ЛОБЗІНА ОЛЬГА МАКСИМІВНА</t>
  </si>
  <si>
    <t>ЛЬВІВСЬКЕ ДЕРЖАВНЕ ПІДПРИЄМСТВО "ОПТОВО-РОЗДРІБНИЙ МАГАЗИН "МЕДТЕХНІКА № 1"</t>
  </si>
  <si>
    <t>ЛЬВІВСЬКИЙ НАЦІОНАЛЬНИЙ МЕДИЧНИЙ УНІВЕРСИТЕТ ІМЕНІ ДАНИЛА ГАЛИЦЬКОГО</t>
  </si>
  <si>
    <t>Лаболаторні дослідження</t>
  </si>
  <si>
    <t>Лазолекс, розч. для ін. 7,5 мг/мл по 2 мл в авмпулі; по 5 амп. у пачці з карону; левофлаксацин, розч. для інф. 500 мг/100мл по 150 мл у флаконі, по 1 фл. в пачці з картону</t>
  </si>
  <si>
    <t>Лаксерс, порошок для розчину для ін'єкцій по 1000мг/1000мг, по 10 флаконів з порошком у пачці з картону</t>
  </si>
  <si>
    <t>Лампа Lebron led L-Lpu-36W</t>
  </si>
  <si>
    <t>Лампа денного світла</t>
  </si>
  <si>
    <t>Лампи 60Вт; Лампи LED 6w</t>
  </si>
  <si>
    <t>Лампи LED 6 W; Лампи LED 10 W; Лампи 75 Вт</t>
  </si>
  <si>
    <t>Лампи LED 6 W; Лампи LED 8 W</t>
  </si>
  <si>
    <t>Лампи LED 8 W; Лампи LED 10 W; Лампи  75 Вт; Лампи 100 Вт</t>
  </si>
  <si>
    <t>Легковий автомобіль RENAULT DUSTER або еквівалент</t>
  </si>
  <si>
    <t>Локшина швидкого приготування</t>
  </si>
  <si>
    <t>Львівське державне підприємство "Оптово-роздрібний магазин "Медтехніка №1"</t>
  </si>
  <si>
    <t>Лєска до косарки 3,0мм з сирдечником; Напильник до ланца 4,8; Шланг до бачка компл, з фільтром (мотокоси)</t>
  </si>
  <si>
    <t>Лєска до косарки; Диск до косарки 40-Т</t>
  </si>
  <si>
    <t>Лінолеум 3*5</t>
  </si>
  <si>
    <t>Ліхтарик Акум, на голову 1898</t>
  </si>
  <si>
    <t>МАКРЕЦЬКА ІРИНА ОЛЕКСАНДРІВНА</t>
  </si>
  <si>
    <t>МАЛЕ ПРИВАТНЕ ПІДПРИЄМСТВО "ГАЗТЕХСЕРВІС-АВТО"</t>
  </si>
  <si>
    <t>МАЛЕ ПРИВАТНЕ ПІДПРИЄМСТВО "НІКА"</t>
  </si>
  <si>
    <t>МАЛЕ ПРИВАТНЕ ПІДПРИЄМСТВО "НІКА" ( кінцевий бенефіціарний власник- ГУК Р. Я. Львівська обл., м. Дрогобич, вул.Л.УКРАЇНКИ, 8/16,)</t>
  </si>
  <si>
    <t>МАНДРІЙЧУК ЮЛІЯ БОГДАНІВНА</t>
  </si>
  <si>
    <t>МАХНЕВИЧ ЛЕСЯ ІГОРІВНА</t>
  </si>
  <si>
    <t>МОНАСТИРСЬКА ОКСАНА ДМИТРІВНА</t>
  </si>
  <si>
    <t>Макарони КС 1кг</t>
  </si>
  <si>
    <t>Макарони вагові Вінниця</t>
  </si>
  <si>
    <t>Масло STIHL 1л</t>
  </si>
  <si>
    <t>Мастило "Рідкий ключ"; Рідке скло 1,2л</t>
  </si>
  <si>
    <t>Мастило 2-х тактне</t>
  </si>
  <si>
    <t>Медичний огляд для працівників занятих на важких роботах із шкідливими чи небезпечними умовами праці(заключний висновок)</t>
  </si>
  <si>
    <t>Медичні послуги з проведення спеціалізованих лаболаторно-діагностичних досліджень</t>
  </si>
  <si>
    <t>Метоклопрамід р-н д/ін. 0,5% 2мл №10</t>
  </si>
  <si>
    <t>Мийка ультразвукова на 30л ( код НК 024:2019-14413 Мийка / стерилізатор)</t>
  </si>
  <si>
    <t>Мило для рук і тіла: Бланідас Софт (Blanidas Soft), 5000 мл ; Крем косметичний для шкіри рук та тіла антибактеріальний «Лізодерм плюс (Lysoderm plus)», 500 мл; Рукавичка «ЧистоТіл Пацієнт», упаковка 10 шт ; Шапочка "ЧистоТіл" для гігієнічного миття голови; Професійний концентрований засіб для миття всіх видів поверхонь «Білизна поверхня (™ Bilysna surface)», 5000 мл; Серветки OnClean (для поверхонь), 120 шт в м‘якій упаковці ; Професійний засіб для миття дзеркальних та скляних поверхонь «Білизна скло(™ Bilysna glass)», 5000 мл ; Професійний засіб для видалення іржі (для інструментів) «Білизна анти іржа (™ Bilysna anti corrosion)»,  1000 мл ; Професійний концентрований засіб для ручного миття посуду «Білизна посуд (™ Bilysna tableware)», 1000 мл; Професійний засіб для миття та очищення ванних кімнат «Білизна кераміка (™ Bilysna ceramics)», 5000 мл; Професійний засіб для генерального прибирання санітарних кімнат «Білизна WC  (™ Bilysna WC)», 1000 мл ; Засіб для очищення поверхонь та нейтралізації неприємних запахів «Білизна медкомфорт) (™ Bilysna medical comfort)», 750 мл ; Засіб для прання білизни «Білизна проф еліт для білих речей», 5000 мл; Засіб для прання білизни «Білизна проф еліт універсальний», 5000 мл ; Рідкий миючий засіб для рук STERISOL Hand Cleanser</t>
  </si>
  <si>
    <t>Молоко пастеризоване 2,5% жирності</t>
  </si>
  <si>
    <t>Моп із мікрофібри  FLAP&amp;POCKET 40 см</t>
  </si>
  <si>
    <t>Морфін г/х 1% 1.0; Сибазон 0,5% 2.0; Кетамін р-н д/ін. 5% амп. 2 мл №10; Фентаніл 0,05 мг/мл 2.0; Атракуріум 10 мг/мл 5,0 №5; Пропофол-ново емул. д/ін 10 мг/мл 20,0 №5</t>
  </si>
  <si>
    <t>Мішки д/сміття Чіко 120*10; Мішки д/сміття Чіко 35*50; Пакети 240*5; Мішки д/сміття Чисто 60*15</t>
  </si>
  <si>
    <t>НАВЧАЛЬНО-МЕТОДИЧНИЙ ЦЕНТР ЦИВІЛЬНОГО ЗАХИСТУ ТА БЕЗПЕКИ ЖИТТЄДІЯЛЬНОСТІ ЛЬВІВСЬКОЇ ОБЛАСТІ</t>
  </si>
  <si>
    <t>НАЗАРКІН СЕРГІЙ ОЛЕКСАНДРОВИЧ</t>
  </si>
  <si>
    <t>НАЦІОНАЛЬНИЙ УНІВЕРСИТЕТ ОХОРОНИ ЗДОРОВ'Я УКРАЇНИ ІМЕНІ П. Л. ШУПИКА</t>
  </si>
  <si>
    <t>Набір шестигранинників; Пістолет для силікону; Лом-цвяходер; Пила дискова 125; Шнур господарський 25м</t>
  </si>
  <si>
    <t>Навчання з питань організації та здійснення публічних закупівель на тему "ПУБЛІЧНІ ЗАКУПІВЛІ В УМОВАХ ВОЄННОГО СТАНУ"</t>
  </si>
  <si>
    <t>Напівавтоматичний мікробіологічний аналізатор для ідентифікації мікроорганізмів та визначення їх антибіотикорезистентності (ІD/AST) (код НК 024:2019: 56747 — Аналізатор бактеріологічний для ідентифікації та визначення антимікробної чутливості ІВД, автоматичний); Турбідіметр (код НК 024:2019: 57870 - Нефелометр мікробіологічний ІВД)</t>
  </si>
  <si>
    <t>Насос шприцевий (НК 024:2019  – 13217 Шприцева помпа)</t>
  </si>
  <si>
    <t>Натрію хлорид р-н д/інф. 0,9% 100 мл; Натрію хлорид р-н д/інф. 0,9% 100 мл; Муколван р-н д/ін. 0,75% 2 мл №5; Магнію сульфат р-н д/ін. 25% 5 мл №10; Дексаметазону фосфат р-н д/ін. 0,4% 1 мл №10; Вомікайнд р-н д/ін. 2мг/мл 4мл №4; АТФ 1% 1мл №10 амп.; Амоксил-К пор. д/п ін. р-ну 1,2 г №1; Адреналіну г/т 0,18% 1мл №10; Адреналіну г/т 0,18% 1мл №10; Бліцеф пор. д/інф. 1г №10</t>
  </si>
  <si>
    <t>Натрію хлорид р-н д/інф. 0,9% 100мл;  Бліцеф пор. д/інф. 1г №10</t>
  </si>
  <si>
    <t>Натрію хлорид р-н інф. 0,9% контейнер пвх 100 мл №1</t>
  </si>
  <si>
    <t>Натрію хлорид розчин 0,9% р-н д/інф. 0,9%, пляшка 100мл №1; Бліцеф пор. д/р-ну д/інф 1000 мг фл. №10; Лідокаїн -Дарниця р-н д/ін. 20 мг/мл амп. 2 мл, контур. чарунк. уп., пачка №10</t>
  </si>
  <si>
    <t>Нексаар р-н д/ін. 100 мг/мл 5 мл №4</t>
  </si>
  <si>
    <t>Немає лотів</t>
  </si>
  <si>
    <t>Новопарин розчин для ін'єкцій 4000 анти-Ха МО по 0,4 мл у шприці №10; Натрію хлорид, розчин для інфузій 9 мг/мл по 200 мл у пляшках; Розчин Рінгера розчин для інфузій по 200 мл</t>
  </si>
  <si>
    <t>Номер договору</t>
  </si>
  <si>
    <t>Ніж підрізний МІМ-600.01.003; Ніж двосторонній МІМ-600.01.004</t>
  </si>
  <si>
    <t>Нітрогліцерин, таблетки сублінгвальні по 0,5 мг №40</t>
  </si>
  <si>
    <t>ОККО-ПОСТАЧ</t>
  </si>
  <si>
    <t>ОЦВ 22-9741-ЛВЗ-0502/641/22</t>
  </si>
  <si>
    <t>Об'єм 2 ТВ Швидкість обертання шпинделя 5400 об/хв Розмір буферу 256 МВ Інтерфейс SATA III Форм-фактор 3,5 Швидкість передачі даних 180 МБ/с Лінійка(Серія) WD RED Рівень шуму 26дБ Виробник WD Китай</t>
  </si>
  <si>
    <t>Обігрівач масляний Kumtel KUM-122S White;  Обігрівач масляний TESY CC 2510 E 05 R; Ел. чайник Edler EK7855</t>
  </si>
  <si>
    <t>Одноразовий набір для трансфузії крові, модель ВТ-4, з металевою голкою для проколу флакону</t>
  </si>
  <si>
    <t>Оприскувач усилений</t>
  </si>
  <si>
    <t>ПАВЛОВА ТЕТЯНА ДМИТРІВНА</t>
  </si>
  <si>
    <t>ПАЛІЙ ГАННА ДМИТРІВНА</t>
  </si>
  <si>
    <t>ПАЛАЙДА ЄВГЕН ІВАНОВИЧ</t>
  </si>
  <si>
    <t>ПАСІЧНИК МАР'ЯН ПАВЛОВИЧ</t>
  </si>
  <si>
    <t>ПЗ028343/521/22</t>
  </si>
  <si>
    <t>ПИЛИПІВ ОЛЕГ ІГОРОВИЧ</t>
  </si>
  <si>
    <t>ПКО Дитилін р-н д/ін. 2% 5мл №10</t>
  </si>
  <si>
    <t>ПКО фенобарбітал-ЗН табл. 100 мг №50 (обмежений відпуск); ПКО сибазон р-н д/ін. 0,5% 2мл №1 (обмежений відпуск)</t>
  </si>
  <si>
    <t>ПП СОЛОМІЯ-СЕРВІС</t>
  </si>
  <si>
    <t>ПРИВАТНЕ АКЦІОНЕРНЕ ТОВАРИСТВО "ЛЬВІВОБЛЕНЕРГО"</t>
  </si>
  <si>
    <t>ПРИВАТНЕ АКЦІОНЕРНЕ ТОВАРИСТВО "ЛЬВІВОБЛЕНЕРГО" (кінцевий бенефіціарний власник-)Боголюбов Г.Б., м.Київ, вул.Царика Григорія, 3/3,Суркіс І.Р., м. Київ, вул.Ділова, 11/5)</t>
  </si>
  <si>
    <t>ПРИВАТНЕ АКЦІОНЕРНЕ ТОВАРИСТВО "ЛЬВІВОБЛЕНЕРГО" (кінцевий бенефіціарний власник-Боголюбов Г.Б., м.Київ, вул.Царика Григорія, 3/3,Суркіс І.Р. м.Київ, вул.Ділова, 11/ 5.)</t>
  </si>
  <si>
    <t>ПРИВАТНЕ ПІДПРИЄМСТВО  " А В Е Р С "</t>
  </si>
  <si>
    <t>ПРИВАТНЕ ПІДПРИЄМСТВО "ІНСТРУМЕНТ-КОМПЛЕКТ"</t>
  </si>
  <si>
    <t>ПРИВАТНЕ ПІДПРИЄМСТВО "БІОЛА"</t>
  </si>
  <si>
    <t>ПРИВАТНЕ ПІДПРИЄМСТВО "ГАЛИЧ-МОТОРС"</t>
  </si>
  <si>
    <t>ПРИВАТНЕ ПІДПРИЄМСТВО "ДОРСЕРВІС-ЗАХІД Н.К."</t>
  </si>
  <si>
    <t>ПРИВАТНЕ ПІДПРИЄМСТВО "КОБРА-СЕРВІС"</t>
  </si>
  <si>
    <t>ПРИВАТНЕ ПІДПРИЄМСТВО "МЕДІНФОСЕРВІС" (КІНЕВИЙ БЕНІФЕНЦІАРНИЙ ВЛАСНИК - ПУСТОВОЙТОВА Т.К.,м.ЧЕРКАСИ вул.. ВАТУТІНА, 245 /20, ІЗОСІМОВ Ю.М., м.ЧЕРКАСИ,вул. КАЛІНІНА, 96/12)</t>
  </si>
  <si>
    <t>ПРИВАТНЕ ПІДПРИЄМСТВО "ОЛВІК"</t>
  </si>
  <si>
    <t>ПРИВАТНЕ ПІДПРИЄМСТВО "САНА КО"</t>
  </si>
  <si>
    <t>ПРИВАТНЕ ПІДПРИЄМСТВО "САНА КО" (кінцевий бенефіціарний власник-КОШЕЛЬ ОКСАНА АНАТОЛІЇВНА,  м. Одеса, пр.Гагаріна, 16/1, квартира 26)</t>
  </si>
  <si>
    <t>ПРИВАТНЕ ПІДПРИЄМСТВО "СОЛОМІЯ-СЕРВІС"</t>
  </si>
  <si>
    <t>ПРИВАТНЕ ПІДПРИЄМСТВО "ТЕХНОІНФОМЕД-2" ( кінцевий бенефіціарний власник-ЗОСІМОВ ЮРІЙ МИХАЙЛОВИЧ, м.Черкаси, вул.Хмельницького Богдана, будинок 52, квартира 17)</t>
  </si>
  <si>
    <t>ПРИВАТНЕ ПІДПРИЄМСТВО "ХЛІБНИЙ КРАЙ" (кінцевий бенефіціарний власник-СЕРЕДНИЦЬКИЙ Ю., 82172, Львівська обл., Дрогобицький р-н, м. Стебник, вул.Миру, 1,СОСНОВСЬКИЙ Д.Ю., 82175, Львівська обл., Дрогобицький р-н, с. Станиля, вул.Мазепи, 27)</t>
  </si>
  <si>
    <t>ПРИВАТНЕ ПІДПРИЄМСТВО "ЦЕНТР ПУБЛІЧНИХ ЗАКУПІВЕЛЬ "ТЕНДЕР-ЕКСПЕРТ"</t>
  </si>
  <si>
    <t>Пакля по штучно 16,25 гр 1 шт</t>
  </si>
  <si>
    <t>Папір туалетний КАХАВИНКА; Туалетний Папір Кохвинка-Велікан 1 шт; Рушник Зетка 1 шт; Туалетний Папір Кохвинка-Велікан 1 шт; Зетка біла; Папір Каховинка 90*125</t>
  </si>
  <si>
    <t>Пасічник Мар'ян Павлович</t>
  </si>
  <si>
    <t>Патрубок 18 ціна за 1м.п</t>
  </si>
  <si>
    <t>Пелюшки гігієнічні поглинаючі 60*90 см "Gentle Touch" №5</t>
  </si>
  <si>
    <t>Пензель малярний; Щітка-макловиця</t>
  </si>
  <si>
    <t>Переговорна процедура</t>
  </si>
  <si>
    <t>Переможець (назва)</t>
  </si>
  <si>
    <t>Печево Марка Марія ваг; Печево Наполеон ваг</t>
  </si>
  <si>
    <t>Планка металева з гумовою вставкою</t>
  </si>
  <si>
    <t>Плита ДСП 16мм 900*1800мм салатова+кромка</t>
  </si>
  <si>
    <t>Плівка дринажна Геотекстиль</t>
  </si>
  <si>
    <t>Порошок Комет 475; Освіжувач 300 ЕДЕМ; Засіб для вікон 500; Порошок Ориджинал/Онікс 10кг; Засіб для вікон 500; Засіб для скла 500; Порошок Гала ручне прання 400гАс; Гала ОV Порошок для Чищення 500; Універсальний чистящий Засіб Мілам 0,5лАс; Домінік для вікон 750; Порошок хорека 5 кг; Рідина для посуду Фреш Лимон 1л; Освіжувач Глейд 300мл Асортимент; Порошок Комет 475; Порошок Гала ручне прання 400гАс; Гала ОV Порошок для Чищення 500</t>
  </si>
  <si>
    <t>Послуги з компенсації перетікань реактивної електричної енергії</t>
  </si>
  <si>
    <t>Послуги з повадження з побутовими відходами</t>
  </si>
  <si>
    <t>Послуги з повірки, контролю метрологічних характеристик, калібрування засобів вимірювальної техніки (ЗВТ) та інших метрологічних  послуг</t>
  </si>
  <si>
    <t>Послуги на проведення цитологічних досліджень</t>
  </si>
  <si>
    <t>Послуги проведення паталогогістологічних досліджень біопсійного та операційних матеріалів; паталоаганатомічне дослідження тіл померлих як в закладах охорони здоров'я, так і вдома</t>
  </si>
  <si>
    <t>Послуги щодо поточного ремонту ДГУ</t>
  </si>
  <si>
    <t>Поставка компонентів крові</t>
  </si>
  <si>
    <t>Постачання Програмної продукції- програмного комплексу "Медична інформаційна система "Health24"" в формі онлайн-доступу через всесвітню мережу Інтернет на базі власних хмарних обчислювальних потужностей з наданням відповідних ліцензійних ключів (Право користування) та технічний супровід Програмної продукції, що включає в себе: внесення змін, оновлень версій, додатків, доповнень та/або розширень функціоналу, виправлення помилок та усунення збоїв в роботі, надання права на отримання таких оновлень, змін, додатків, доповнень протягом певного періоду часу (Підтримка) на визначену кількість користувачів зі строком дії до 30.11.2022 р. включно</t>
  </si>
  <si>
    <t>Постачання Програмної продукції- програмного комплексу "Медична інформаційна система "Health24"" в формі онлайн-доступу через всесвітню мережу Інтернет на базі власних хмарних обчислювальних потужностей з наданням відповідних ліцензійних ключів (Право користування) та технічний супровід Програмної продукції, що включає в себе: внесення змін, оновлень версій, додатків, доповнень та/або розширень функціоналу, виправлення помилок та усунення збоїв в роботі, надання права на отримання таких оновлень, змін, додатків, доповнень протягом певного періоду часу (Підтримка) на визначену кількість користувачів зі строком дії до 31.12.2022 р. включно</t>
  </si>
  <si>
    <t>Праска Grunhelm EI9508C 2600Вт, керам, підошва авто-відключ, антикапля антиналіт</t>
  </si>
  <si>
    <t>Предмет закупівлі</t>
  </si>
  <si>
    <t>Преднізолон р-н д/ін. 30 мг 1 мл №5; Метронідазол р-н д/інф. 0,5% 100 мл; Лідокаїн р-н д/ін. 2% мл №10</t>
  </si>
  <si>
    <t>Пробірка пластикова 2ml  (мл), нестерильна., з кришкою, кругле дно (500 шт/паков) (Код НК 024:2019:35413-Загальна лабораторна тара, багаторазово); Пробірка вакуумна Гранум для забору крові без наповнювача; розмір 13х75 мм; об'єм 5.0 мл. пластик (100 шт/паков)(НК 024:2019:47590-Пробірка вакуумна для відбору зразків крові IVD, без добавок); Пробірка вакуумна Гранум для забору крові з активатором згортання; розмір 16х100 мм; об'єм 9.0 мл. пластик (100 шт/паков)( НК 024:2019:42387 - Пробірка вакуумна для взяття зразків крові, з активатором згортання IVD)</t>
  </si>
  <si>
    <t>Пробірки вакуумні пластикові IMPROVACUTER, без наповнювача 4 мл, 13х74мм( код НК 024:2019- 47590 Пробірка вакуумна для відбору зразків крові IVD, без добавок); Пробірки вакуумні скляні з подвійною шкалою для ШОЕ IMPROVACUTER з цитратом натрію 3,8 1,28 мл(код НК 024:2019- 42585 Пробірка вакуумна для взяття зразків крові, з цитратом натрію, IVD)</t>
  </si>
  <si>
    <t>Проведення експертизи кошторисної частини проекту будівництва та експертизи проекту будівництва в частині забезпечення механічного опору та стійкості: "Капітальний ремонт ліфтового обладнання Комунального некомерційного підприємства "Стебницька міська лікарня" Дрогобицької міської ради із заміною двох лікарняних ліфтів в/п 1275кг на 4 та 5 зупинок за адресою вулиця Січових Стрільців, 2 в місті Стебник Львівської області" Коригування</t>
  </si>
  <si>
    <t>Проведення експертизи щодо розгляду кошторисної частини проєктної документації проекту: "Капітальний ремонт фізіотерапевтичного відділення в КНП "Стебницька міська лікарня" ДМР за адресою: Львівська обл., м.Стебник, вул. Січових Стрільців, 2"</t>
  </si>
  <si>
    <t>Проведення знежирення  трубопроводів по всій системі киснезабезпечення; Технологічна ревізія кранів; Гідравлічні випробування; Пневматичні випробування</t>
  </si>
  <si>
    <t>Проведення знежирення трубопроводів по всій системі киснезабезпечення; Технологічна ревізія кранів; Гідравлічні випробування; Пневматичні випробування</t>
  </si>
  <si>
    <t>Провід електор. 3*2,5</t>
  </si>
  <si>
    <t>Прокладки 25 1" силікон; Прокладки силікон 15 1/2</t>
  </si>
  <si>
    <t>Промедол-ЗН 20 мг/мл 1,0</t>
  </si>
  <si>
    <t>Пульсоксиметр (код за НК 024:2019:45607 − Пульсоксиметр, що живиться від батареї); Термометр безконтактний (код за НК 024:2019:17888 − Інфрачервоний шкірний термометр пацієнта); Столик інструментальний (код за НК 024:2019:13959 − Стіл для хірургічних інструментів); Столик маніпуляційний (код за НК 024:2019:13959 − Стіл для хірургічних інструментів); Дзеркало хірургічне HARTMANN , назальне, 4,0мм (код за НК 024:2019:33431 − Дзеркало ларингеальне); Дзеркало хірургічне HARTMANN-HALLE, назальне, 2,0мм (код за НК 024:2019:33431 − Дзеркало ларингеальне); Дзеркало хірургічне HARTMANN-HALLE, назальне, 3,5мм (код за НК 024:2019:33431 − Дзеркало ларингеальне); Дзеркало хірургічне HARTMANN-HALLE, назальне, 3,0мм (код за НК 024:2019:33431 − Дзеркало ларингеальне); Дзеркало хірургічне, мод. 8,  гортанне, Ø 25см (код за НК 024:2019:33431 − Дзеркало ларингеальне); Дзеркало хірургічне, мод. 6,  гортанне, Ø 22см (код за НК 024:2019:33431 − Дзеркало ларингеальне); Дзеркало хірургічне, назально-гортанне, мод. 1, Ø 12см (код за НК 024:2019:33431 − Дзеркало ларингеальне); Дзеркало хірургічне POLITZER, вушне, нікельоване (код за НК 024:2019:33431 − Дзеркало ларингеальне); Зонд хірургічний, вушний з навивкою, 100мм (код за НК 024:2019:35253 − Зонд для носових пазух); Ніж хірургічний TOBOLD , гортанний (код за НК 024:2019:33680 − ЛОР ніж); Затискач хірургічний DANDY, кровоспинний зігнутий по ребру (код за НК 024:2019:10904 − Затискач для хірургічних інструментів); Затискач хірургічний, кровоспинний MOSQUITO, прямий (код за НК 024:2019:10904 − Затискач для хірургічних інструментів); Затискач хірургічний MOSQUITO-DANDY, кровоспинний зігнутий по ребру, 12,5мм (код за НК 024:2019:10904 − Затискач для хірургічних інструментів); Роторозширювач хірургічний DAVIS-MEYER  з набором хірургічних шпателів (код за НК 024:2019:35085 − Роторозширювач регульований); Ручка скальпеля хірургічна (код за НК 024:2019:44959 − Тримач хірургічного леза); Леза хірургічні (код за НК 024:2019:37445 − Лезо скальпеля одноразового використання); Скальпель хірургічний очний (код за НК 024:2019: 35141 −Скальпель багаторазового застосування); Петля хірургічна, назальна, Ø 0,4мм (код за НК 024:2019:46632 − Петля для видалення поліпів/голка для ін'єкцій); Петля  хірургічна, назальна, Ø 0,3мм (код за НК 024:2019:46632 − Петля для видалення поліпів/голка для ін'єкцій); Дзеркало операційне ZIEGLER ЛОР (код за НК 024:2019:33431 − Дзеркало ларингеальне); Затискач хірургічний DIEFFENBACH, типу «бульдог», 3см (код за НК 024:2019:10904 − Затискач для хірургічних інструментів); Затискач хірургічний  DIEFFENBACH, типу «бульдог», 4см (код за НК 024:2019:10904 − Затискач для хірургічних інструментів); Голкотримач хірургічний STRATTE, вигнутий, армований, 24см (код за НК 024:2019:12726 − Багаторазовий тримач голки); Ретрактор хірургічний SIMS, ректальний, 160мм (код за НК 024:2019:45918 − Середній/глибокий ранорозширювач); Венекстрактор хірургічний NABATOFF (код за НК 024:2019:35377 − Веноекстрактор багаторазового застосування); Пінцет хірургічний DE BAKEY, атравматичний, 20см (код за НК 024:2019:15800 − Препарувальний пінцет); Пінцет хірургічний DE BAKEY, атравматичний, 24см (код за НК 024:2019:15800 − Препарувальний пінцет); Пінцет хірургічний DE BAKEY, атравматичний, вигнутий (код за НК 024:2019:15800 − Препарувальний пінцет); Ножиці хірургічні  DE BAKEY судинні, зігнуті по ребру (код за НК 024:2019:38727 − Хірургічні ножиці загального призначення багаторазового використання); Голкотримач хірургічний, тонкий, армований, 18см (код за НК 024:2019:12726 − Багаторазовий тримач голки); Голкотримач хірургічний DE BAKEY, армований, 18см (код за НК 024:2019:12726 − Багаторазовий тримач голки); Голкотримач хірургічний, армований, 18см (код за НК 024:2019:12726 − Багаторазовий тримач голки),; Ніж хірургічний LANGENBECK,  ампутаційний (код за НК 024:2019:33680 − ЛОР ніж); Затискач хірургічний ALLIS (код за НК 024:2019:10904 − Затискач для хірургічних інструментів); Затискач хірургічний,  гемороїдальний, прямий (код за НК 024:2019:10904 − Затискач для хірургічних інструментів); Затискач хірургічний,  для захоплення кишкової стінки (код за НК 024:2019:10904 − Затискач для хірургічних інструментів); Затискач хірургічний, кровоспинний MOSQUITO, прямий (код за НК 024:2019:10904 − Затискач для хірургічних інструментів); Зонд хірургічний, жолобкуватий (код за НК 024:2019:35253 − Зонд для носових пазух); Пінцет хірургічний  ADSON (код за НК 024:2019:15800 − Препарувальний пінцет); Ретрактор хірургічний KOCHER , 4-зубий (код за НК 024:2019:45918 − Середній/глибокий ранорозширювач); Ретрактор хірургічний FARABUF (код за НК 024:2019:45918 − Середній/глибокий ранорозширювач); Ретрактор хірургічний VOLKMANN, 1-зубий , гострий (код за НК 024:2019:45918 − Середній/глибокий ранорозширювач); Голка хірургічна DESCHAMPS лігатурна (код за НК 024:2019:32357 − Голка шовна багаторазового використання); Ножиці хірургічні, тупокінцеві, зігнуті, 230мм (код за НК 024:2019:38727 − Хірургічні ножиці загального призначення багаторазового використання); Ножиці хірургічні, тупокінцеві, зігнуті, 140мм (код за НК 024:2019:38727 − Хірургічні ножиці загального призначення багаторазового використання); Ножиці хірургічні, гострокінцеві, зігнуті, 175мм (код за НК 024:2019:38727 − Хірургічні ножиці загального призначення багаторазового використання); Ножиці хірургічні для глибоких порожнин (код за НК 024:2019:38727 − Хірургічні ножиці загального призначення багаторазового використання); Кюрета хірургічна VOLKMANN кісткова двостороння (код за НК 024:2019:31335 − Кюретка кісткова); Затискач хірургічний, кровоспинний KOCHER, прямий, 195мм (код за НК 024:2019:10904 − Затискач для хірургічних інструментів); Затискач хірургічний, кровоспинний MOSQUITO, зігнутий, 125мм (код за НК 024:2019:10904 − Затискач для хірургічних інструментів); Затискач хірургічний, спонджевий MAIER, вигнутий, 265мм (код за НК 024:2019:10904 − Затискач для хірургічних інструментів); Ретрактор хірургічний SIMS, ректальний, двостулковий, роб. част. 95мм (код за НК 024:2019:45918 − Середній/глибокий ранорозширювач); Ретрактор хірургічний, WEITLANER, самозберігаючий, 165мм (код за НК 024:2019:45918 − Середній/глибокий ранорозширювач); Ручка  скальпеля хірургічна  № 3L, велика (код за НК 024:2019:44959 − Тримач хірургічного леза); Відеоларингоскоп  HYHJ – KC (код за НК 024:2019:62763 − Набір з інтубаційним відеоларингоскопом); Відсмоктувач хірургічний медичний (код за НК 024:2019:17435 − Аспіраційна система для аутопсії)</t>
  </si>
  <si>
    <t>Підставка під бікс( код НК 024:2019-61454 - Стійка для хірургічного лотка)</t>
  </si>
  <si>
    <t>Піна монтажна 800 мл</t>
  </si>
  <si>
    <t>Піна монтажна; Викрутка з насадками</t>
  </si>
  <si>
    <t>Пірацетам-Здоров’я р-н д/ін. 200мг/мл 10 мл №10; Новокаїн р-н д/інф. 0,5% 200 мл; Новокаїн р-н д/ін. 2% 2 мл №10; Мовіпреп пор. №4; Мовіпреп пор. №4; Левомеколь мазь 40 г –t; Йоду р-н спирт. 5% 20 мл; Ізіклін конц. д/ор. р-ну 176 мл №2; Гіоксізон мазь 15 г</t>
  </si>
  <si>
    <t>Пістолет для піни</t>
  </si>
  <si>
    <t>Радіатор BROQNNER C22 500x1200 (2616Вт);  Радіатор BROQNNER C22 500x1000(2180Вт); Радіатор BROQNNER C22 500x2000(4360Вт)</t>
  </si>
  <si>
    <t>Рафт р-н д/ін. 4мг 1мл №10; Рафт р-н д/ін. 4мг 1мл №10; Рафт р-н д/ін. 4мг 1мл №10; Омепразол ліоф. д/п інф. р-ну 40 мг №1; Омепразол ліоф. д/п інф. р-ну 40 мг №1; Омепразол ліоф. д/п інф. р-ну 40 мг №1; Дексаметазону фосфат р-н д/ін. 0,4% 1мл №10-t`; Дексаметазону фосфат р-н д/ін. 0,4% 1мл №10-t`</t>
  </si>
  <si>
    <t>Регідрон пор. 18,9 г №20; Регідрон-Оптім пор. д/орал. р-ну 10,7 г №20; Бісептол табл. 480 мг №20</t>
  </si>
  <si>
    <t>Ремені для фіксації</t>
  </si>
  <si>
    <t>Ремонт принтера HP1102 в кількості 1 (одна) штука та Canon MF3010 кількості 1 (одна) штука</t>
  </si>
  <si>
    <t>Рис; Ячмінна; Вівсяні пластівці; Пшоно; Перлова; Гречана крупа; Борошно в/г</t>
  </si>
  <si>
    <t>Розвідний гайковий ключ 36*300мм, Al-Cu X-Spark; Молоток інженерний 0,5 кг, Al-Cu X-Spark</t>
  </si>
  <si>
    <t>Розетка зв.1-а з/з; Розетка зв.1; Розетка зв.2-а з/з; Вилка пряма з/з СВ-У(50шт/уп); Гофра(не горюча)-Д16 нг,сіра(100м,рул) 1м/п; Шина Lemanso нульова №15-отв.LMA019</t>
  </si>
  <si>
    <t>Розетка зовн. 2 гнізда; Вимикач зовн.; Коробка розподільча;  Розетка 2 гн. з заземленням</t>
  </si>
  <si>
    <t>Розчин Рінгер-лактатний розчин для інфузій по 200 мл; Розчин Рінгера розчин для інфузій по 200 мл; Глюкоза розчин для інфузій 50 мг/мл по 200 мл</t>
  </si>
  <si>
    <t>Розчин Рінгер-лактатний розчин для інфузій по 200 мл; Розчин Рінгера розчин для інфузій по 200 мл; САНГЕРА, розчин для ін'єкцій, 100 мг/мл по 5 мл в ампулі №5; Флуконазол розчин для інфузій 2 мг/мл по 100 мл</t>
  </si>
  <si>
    <t>Розчинник 0,8 л</t>
  </si>
  <si>
    <t>Розчинник до фарби 0,8л</t>
  </si>
  <si>
    <t>Ролети</t>
  </si>
  <si>
    <t>Рукавиці робочі</t>
  </si>
  <si>
    <t>Рукавички хір.н/припудрені ст. р.6,5; Рукавички Medicare (Медікеа) хір. ст. припудр. р.8,0; Рукавички Medicare (Медікеа) хір. ст. н/припудр. р.7,0; Рукавички Medicare (Медікеа) огляд. нітрил. н/ст. н/припудр. (блакитні) р.М пара; Рукавички Medicare (Медікеа) огляд. нітрил. н/ст. н/припудр. (блакитні) р.S пара; Рукавички Medicare (Медікеа) огляд. латекс. н/ст. н/припудр. р.L; Катетер канюля 20G</t>
  </si>
  <si>
    <t>Ручка скальпеля(НК 024:2019 - 44959 - Тримач хірургічного леза); Лезо скальпеля №15(НК 024:2019 - 32282- Лезо скальпеля); Витратомір 15л/хв для О2(НК 024:2019 – 37132-Расходомер кисневої терапії); Затискач Москіт зігнутий 180мм(НК 024:2019 – 10904 - Затискач для хірургічних інструментів); Корцанг  прямий(НК 024:2019 – 62466 - Щипці хірургічні для м'яких тканин, у формі пінцета, багаторазового використання); Ножиці 170мм прямі(НК 024:2019 – 38727 - Хірургічні ножиці загального призначення); Пінцет анатомічний 200мм медичний(НК 024:2019 – 15800 -  Препарувальний пінцет); Ретрактор для грудини рейковий(НК 024:2019 –45918 - Середній/Глибокий рано розширювач); Ретрактор Фарабеф 120мм(НК 024:2019 –45918 - Середній/Глибокий рано розширювач); Щипці кульовки(НК 024:2019 – 35804 - Затискач для матки); Конхотом гінекологічний(НК 024:2019 – 35286- Викусувач біобсійний); Кюретка для  вискоблювання слизової матки гостра №0(НК 024:2019 – 32594 - Кюретка внутрішньоматкова); Кюретка для  вискоблювання слизової матки гостра №3(НК 024:2019 – 32594 - Кюретка внутрішньоматкова); Кюретка для  вискоблювання слизової матки гостра №4(НК 024:2019 – 32594 - Кюретка внутрішньоматкова); Дзеркало вагінальне по Куско 110*30(НК 024:2019 – 35352-Дзеркало вагінальне); Дзеркало вагінальне по Куско 115*32(НК 024:2019 – 35352 - Дзеркало вагінальне); Коробка стерилізаційна з нержавіючої сталі Діаметр 340 мм ,вис. 145мм(НК 024:2019 – 13730 - Стерилізаційний контейнер); Коробка стерилізаційна з нержавіючої сталі Діаметр 340 мм ,вис. 190мм(НК 024:2019 – 13730 - Стерилізаційний контейнер); Коробка стерилізаційна з нержавіючої сталі Діаметр 240 мм , вис. 145мм(НК 024:2019 – 13730 - Стерилізаційний контейнер); Коробка стерилізаційна з нержавіючої сталі Діаметр 290 мм ,вис. 145мм(НК 024:2019 – 13730 - Стерилізаційний контейнер); Голкотримач 180,0мм(НК 024:2019 – 12726 - Багаторазовий тримач голки); Голкотримач 150мм(НК 024:2019 – 12726 - Багаторазовий тримач голки); Дзеркало по  Річардсону(НК 024:2019 – 12551 - Акушерське дзеркало); Дзеркало по Fritsch для черевної стінки(НК 024:2019 – 12551 - Акушерське дзеркало); Ножиці 175 мм тупокінцеві зігнуті(НК 024:2019 – 38727 - Хірургічні ножиці загального призначення); Затискач 200мм зігнутий Піана(НК 024:2019 – 10904 - Затискач для хірургічних інструментів); Затискач  к/с Кохера 1х2 зубий 200мм зігнутий(НК 024:2019 – 10904 - Затискач для хірургічних інструментів); Затискач Алліс 190мм(НК 024:2019 - 10904 - Затискач для хірургічних інструментів); Ножиці т/к зігнуті 140мм( НК 024:2019 - 38727 - Хірургічні ножиці загального призначення); Щипці гемороїдальні(НК 024:2019 - 35804 - Затискач для матки); Набір розширювачів Гегара(НК 024:2019 - 45918 - Середній/Глибокий ранорозширювач); Ножиці для розрізання повязок з ґудзиком(НК 024:2019 – 38727 - Хірургічні ножиці загального призначення); Пінцет анатомічний 150мм медичний(НК 024:2019 – 15800 - Препарувальний пінцет); Пінцет хірургічний 150мм(НК 024:2019 – 15800 - Препарувальний пінцет); Пінцет мікрохірургічний по Adson довжина 12см(НК 024:2019 – 15800 - Препарувальний пінцет); Пінцет мікрохірургічний по Adson довжина 18см(НК 024:2019 – 15800 - Препарувальний пінцет); Ретрактор хірургічний, WEITLANER, самозберігаючий, 165мм(НК 024:2019 –45918 - Середній/Глибокий рано розширювач); Дисектор(НК 024:2019 –10904 - Затискач для хірургічних інструментів); Столик інструментальний(НК 024:2019 – 34873 - Меблі для лікарень); Простирадло одноразове в рулоні 08*100(НК 024:2019 – 35549 - Простирадло для операційного столу); Відсмоктувач  медичний(НК 024:2019 – 17435 - Аспіраційна система); Опромінювач бактерицидний з лампою 30Вт(НК 024:2019 – 35150-Лампа ультрафіолетова герміцидна); Опромінювач бактерицидний з лампою 30Вт та екраном(НК 024:2019 -  35150-Лампа ультрафіолетова герміцидна); Зволожувач бульбашковий з тонкодисперсним розпиленням 400мл(НК 024:2019 –35113 - Зволожувач дихальних сумішей))</t>
  </si>
  <si>
    <t>САЄНКО МАР'ЯНА ВАСИЛІВНА</t>
  </si>
  <si>
    <t>СЕНІВ ЛЕСЯ ЄВГЕНІВНА</t>
  </si>
  <si>
    <t>СЕНЮК АНДРІЙ ВАСИЛЬОВИЧ</t>
  </si>
  <si>
    <t>СЕРГІЄНКО ВІТА ОЛЕКСАНДРІВНА</t>
  </si>
  <si>
    <t>СК плівка+порізка</t>
  </si>
  <si>
    <t>СОРОКА ВІТАЛІЙ ВОЛОДИМИРОВИЧ</t>
  </si>
  <si>
    <t>СП-02/Др/271/22</t>
  </si>
  <si>
    <t>СП023641</t>
  </si>
  <si>
    <t>СПІВАК ЛЮБОМИР ВІТАЛІЙОВИЧ</t>
  </si>
  <si>
    <t>Сальбутамол аер. 100 мкг/200доз 10 мл; Преднізолон р-н д/ін. 30мг 1 мл №5; Кальцію глюконат р-н д/ін. 10% 5 мл №10; Бісептол табл. 480 мг №20; Азитроміцин  капс. 500 мг №3</t>
  </si>
  <si>
    <t>Саморізи 55</t>
  </si>
  <si>
    <t>Саморізи 76мм; Саморізи 35мм; Саморізи 8*80; Шайби 8; Турбошурупи 72 мм; Дюбеля 6*40; Дюбеля до гіпсокартону; Сверло 10*300</t>
  </si>
  <si>
    <t>Саморізи 76мм; Турбошуруп 182</t>
  </si>
  <si>
    <t>Санаксон-1000, порошок для розчину для ін'єкцій, по 1000 мг у флаконі №1; Санаксон-2000, порошок для розчину для ін'єкцій, по 2000 мг у флаконі №1</t>
  </si>
  <si>
    <t>Санаксон-1000, порошок для розчину для ін'єкцій, по 1000 мг у флаконі№1; Санаксон-2000, порошок для розчину для ін'єкцій, по 2000 мг у флаконі №1</t>
  </si>
  <si>
    <t>Свердло 5 мм; Свердло до перфоратора 6 мм; Свердло 12 мм</t>
  </si>
  <si>
    <t>Свердло 6мм/110; Свердло до плитки 6мм; Свердло по металу 6мм; Набір викруток 8шт</t>
  </si>
  <si>
    <t>Свердло по металу YATO 10мм, 133мм, 6-гран; Свердло по металу YATO 6мм, 113мм, 6-гран</t>
  </si>
  <si>
    <t>Севофлуран р-н д/інгаляцій 100% 250 мл</t>
  </si>
  <si>
    <t>Секторний кардіологічний датчик (код НК 024:2019: 40768 - Датчик системи екстракорпоральної ультразвукової візуалізації, ручний)</t>
  </si>
  <si>
    <t>Септософт, 1000мл</t>
  </si>
  <si>
    <t>Серветки Манорапід преміум клінік у м’якій упаковці з клапаном, 100 шт; Засіб дезінфікуючий "Бланідас 300 (Blanidas 300)"гранули, 1 кг</t>
  </si>
  <si>
    <t>Сечові смужки LabAnalyt 11G(Код НК 024:2019: 54514 Численні аналіти сечі IVD, набір, колориметрична тест-смужка, експрес-аналіз)</t>
  </si>
  <si>
    <t>Сибазон 0,5% 2,0</t>
  </si>
  <si>
    <t>Сибазон 0,5% 2,0;  Кетамін-ЗН 50 мг/мл 2,0; Тіопентал 0,5</t>
  </si>
  <si>
    <t>Силікон санітарний прозорий Knaufmann 320гр</t>
  </si>
  <si>
    <t>Сир твердий Карпатський ваг</t>
  </si>
  <si>
    <t>Сифон Душ кабіни(клік-клак) з гофрою Д0230; Шланг(ігла) нерж. М10-1/2-0,50м HY6201А д.(6994) 9361; Шланг(ігла) нерж. М10-1/2-0,40м(6993)</t>
  </si>
  <si>
    <t>Скло предметне 26*76 мм зі шліфованим краєм, (50 шт/упак); Скло покрівне 18*18 mm (мм), (100 шт/уп); Прилад ШОЕ- метр ПР-3, к-т №1; Піпетка скляна до ШОЕ-метру ПС/СОЄ-01; Піпетка 0,1 мл</t>
  </si>
  <si>
    <t>Скоч прозорий 48ммх300м</t>
  </si>
  <si>
    <t>Солу-медрол пор. д/п ін. р-ну 1000 мг №1</t>
  </si>
  <si>
    <t>Солу-медрол пор. д/п ін. р-ну 500 мг 7,8 мл №1;  Солу-медрол пор. д/п ін. р-ну 40 мг/1мл  №1; Солу-медрол пор. д/п ін. р-ну 125 мг 2 мл №1</t>
  </si>
  <si>
    <t>Сольовий агар; Середовище Левіна; Вісмут-Сульфіт агар; Поживний агар; Агар Мюллера-Хінтона; Сабуро агар з глюкозою; Пептон лужний; Середовище Олькеницького; Селенітовий бульйон (Лейфсона); Тіогліколеве середовище; Агар лужний; Цитральний агар Сіммонса; Магнієве середовище; Бульйон поживний Сабуро; Агар ацетатний; Фенілаланін агар; Сироватка кінська нормальна для батеріологічних поживних середовищ; Телурит калію-набір для використання розчину телуриту калію як допоміжного реактиву у якості інгібітору (REF ПС020.01); РФ - латекс тест; СРБ - латекс тест; АСЛ-О латекс тест; Забарвлення за грамом-набір для диференціального забарвлення, дослідження структури клітинної стінки і виявлення приналежності бактерій до грампозитивних, або грамнегативних груп з карболовим розчином фуксина Ціля (REF HP030.01); Маніт; Глюкоза; Натрій хлористий; набір реагентів "Масло імерсійне"; Гліцерин, бут. 1,26 кг; Кислота сульфасаліцилова; Бензидин; Ентеро тест 24; Стрепто тест 24; Термоіндикатори хімічні110 (100шт/уп); Термоіндикатори хімічні120 (100шт/уп); Термоіндикатори хімічні132 (100шт/уп); Термоіндикатори хімічні160 (100шт/уп); Універсальний папір рН 0-12; Сечові смужки LabAnalyt 11G; Агар Ендо; Диски для визначення чутливості мікроорганізмів до лікарських засобів-Ампіцилін АМП 10 мкг; Диски для визначення чутливості мікроорганізмів до лікарських засобів-Бензилпеніцилін (Пеніцилін G)БЕН 10 ОД; Диски для визначення чутливості мікроорганізмів до лікарських засобів-Амоксицилін/клавуланова кислота для стафілококів (Амоксиклав) АМО 20/10; Диски для визначення чутливості мікроорганізмів до лікарських засобів-Цефокситин ЦФО 30 мкг; Диски для визначення чутливості мікроорганізмів до лікарських засобів-Цефепін ЦФП 30 мкг; Диски для визначення чутливості мікроорганізмів до лікарських засобів-Цефтазидим ЦФЗ 30 мкг; Диски для визначення чутливості мікроорганізмів до лікарських засобів-Еритроміцин ЕРТ 15 мкг; Диски для визначення чутливості мікроорганізмів до лікарських засобів-Меропенем МЕР 10 мкг; Диски для визначення чутливості мікроорганізмів до лікарських засобів-Ванкоміцин ВАН 30 мкг; Диски для визначення чутливості мікроорганізмів до лікарських засобів-Лінкоміцин ЛНК 15 мкг; Диски для визначення чутливості мікроорганізмів до лікарських засобів-Норфлоксацин НОР 10 мкг; Диски для визначення чутливості мікроорганізмів до лікарських засобів-Моксифлоксацин МОК 5мкг; Диски для визначення чутливості мікроорганізмів до лікарських засобів-Офлоксацин ОФЛ 5мкг; Диски для визначення чутливості мікроорганізмів до лікарських засобів-Гентаміцин ГЕТ 10мкг; Диски для визначення чутливості мікроорганізмів до лікарських засобів-Нітрофурантоїн (Фурадонін) НФР 300мкг; Диски для визначення чутливості мікроорганізмів до лікарських засобів-Флуконазол ФЛУ 25мкг; Диски з бацитрацином 0,04 ОД ( DD015); Диски індикаторні з ПЛЗ оксациліном 10 мкг, 100 визначень (Di 132-100); Диски для визначення чутливості мікроорганізмів до лікарських засобів-Фуразизин (Фурагін) ФУР 300мкг; S-S-агар; Фенолфталеїн (50г/уп); Аланін солянокислий, чда</t>
  </si>
  <si>
    <t>Сорбілакт р-н 200мл; Рифампіцин капс. 0,15 №20; Піразинамід табл. 500 мг №50; Ізоніазид табл.  0,3 г №50; Гліцерин р-н 25 мл; Етамбутол табл. 400 мг №50; Мелоксикам-КВ табл. 7,5 мг №20; Нуклео ЦМФ форте капс. №30; Альбувен р-р д/інф. 10% 100 мл</t>
  </si>
  <si>
    <t>Спирт етиловий 96% р-н д/зовн. застос. 100 мл №1; Спирт етиловий 70% р-н д/зовн. застос. 100 мл №1</t>
  </si>
  <si>
    <t xml:space="preserve">Спирт етиловий р-н 96% 100 мл; Спирт етиловий р-н 70% 100 мл </t>
  </si>
  <si>
    <t>Спиртол р-н 96% 100 мл; Спирт етиловий р-н 70% 100 мл;  Септил р-н 70% 100 мл )</t>
  </si>
  <si>
    <t>Спринцівка АЗ(код НК 024:2019-34630 Спринцовка, ручна, нестерильна)</t>
  </si>
  <si>
    <t>Спрощена закупівля</t>
  </si>
  <si>
    <t>Статус договору</t>
  </si>
  <si>
    <t xml:space="preserve">Стенд закритого типу з відкрити ящиком; Лом; Багор; Лопата штикова пожежна; Лопата совкова (Україна); Брезент вогнестійкий окт.звичайний 1,4×1,8; Сокира пожежна 500г (з ручкою скловолокна 850гр); Вогнегасник ВП-5(з); Вогнгасник вуглекислотний ВВК-3,5 (ОУ-5); Рукав 51 мм 0,8МПа с ГР50, РС50.01; Головка ГЦН-50 </t>
  </si>
  <si>
    <t>Стерильний репозиційний гемостатичний кліпуючий пристрій Lockado™, відкриття 11мм (НК 024:2019:61207-Кліпса ендоскопічна для шлунково-кишкового тракту, короткочасного використання); Одноразові щипці для біопсії 2300мм (НК 024:2019:38711 - Гнучкі ендоскопічні біопсійні щипці, одноразові); Петля КліаГрасп FM-ES0006(2400), для холодної поліпектомії, 6мм, ротаційна(НК 024:2019:62615-Петля ріжуча механічна для поліпектомії); Петля КліаГрасп FM-ES0004(2400), для холодної поліпектомії, 10мм, ротаційна (НК 024:2019:62615-Петля ріжуча механічна для поліпектомії)</t>
  </si>
  <si>
    <t>Столик анестезіолога СА( код НК 024:2019 - 13951 Стіл на анестезіологічні інструменти)</t>
  </si>
  <si>
    <t>Столик анестезіолога СТ-А-2Н( код НК 024:2019 - 13951 Стіл на анестезіологічні інструменти)</t>
  </si>
  <si>
    <t>Стрічка діаграмна ЕКГ 110*25</t>
  </si>
  <si>
    <t>Стрічка діаграмна ЕКГ 110х25</t>
  </si>
  <si>
    <t>Стяжка 2,5х150 чорна+білі W2.5х150; Хомут нерж,Profi 12х22/9мм; Хомут нерж,Profi 16х27/9мм</t>
  </si>
  <si>
    <t>Стіл операційний МТ400В; Світильник операційний ART-II-500, стельовий</t>
  </si>
  <si>
    <t>Стілець гвинтовий СВСПС(код НК 024:2019- 34833 Стілець загального призначення)</t>
  </si>
  <si>
    <t>Сульбактомакс пор. д/ін. 1500 мг №1</t>
  </si>
  <si>
    <t>Сульбактомакс пор. д/ін. 1500 мг №1; Преднізолон  р-н д/ін. 30 мг 1 мл №5; Омепразол 20 Ананта капс. 20 мг №100; Метресса р-н д/ін. 500 мг/100 мл №1; Кордарон р-н д/ін. 3 мл №6; Еноксапарин р-н д/ін. 0,4 г №1; Вомікайнд р-н д/ін. 2 мг/мл 4 мл №4</t>
  </si>
  <si>
    <t>Сума договору</t>
  </si>
  <si>
    <t>Сухарі Сто Пудів 100 г</t>
  </si>
  <si>
    <t>Сухарі Сто Пудів 100г</t>
  </si>
  <si>
    <t>Сіль Дрогобицька 750гр</t>
  </si>
  <si>
    <t>Сіль Кам'яна Кухонна 1 кг</t>
  </si>
  <si>
    <t>Сітка скловолокниста</t>
  </si>
  <si>
    <t>ТІВ-10ДР/580/22</t>
  </si>
  <si>
    <t>ТІВ-11ДР/581/22</t>
  </si>
  <si>
    <t>ТІВ-11ДР/582/22</t>
  </si>
  <si>
    <t>ТІВ-15ДР/645/22</t>
  </si>
  <si>
    <t>ТІВ-16ДР/646/22</t>
  </si>
  <si>
    <t>ТІВ-17ДР/647/22</t>
  </si>
  <si>
    <t>ТІВ-1ДР/114/22</t>
  </si>
  <si>
    <t>ТІВ-2ДР/115/22</t>
  </si>
  <si>
    <t>ТІВ-3ДР/511/22</t>
  </si>
  <si>
    <t>ТІВ-4-ДР/508/22</t>
  </si>
  <si>
    <t>ТІВ-5ДР/507/22</t>
  </si>
  <si>
    <t>ТІВ-6ДР/510/22</t>
  </si>
  <si>
    <t>ТІВ-7ДР/509/22</t>
  </si>
  <si>
    <t>ТІВ-8ДР/506/22</t>
  </si>
  <si>
    <t>ТІВ-9ДР/505/22</t>
  </si>
  <si>
    <t>ТЗ ОВ "ЕЛПІС"( кінцевий  бенефіціарний власник Е. Р. НОЕЛЬ ДІКСОН, СПОЛУЧЕНЕ КОРОЛІВСТВО ВЕЛИКОЇ БРИТАНІЇ ТА ПІВНІЧНОЇ ІРЛАНДІЇ ВЕЛИКОБРИТАНІЯ, 10)</t>
  </si>
  <si>
    <t>ТЗО В "ЕЛПІС" (кінцевий бенефіціарний власник  ЕНДРЮ РОДНІ НОЕЛЬ ДІКСОН, СПОЛУЧЕНЕ КОРОЛІВСТВО ВЕЛИКОЇ БРИТАНІЇ ТА ПІВНІЧНОЇ ІРЛАНДІЇ , 10 ЕЛМС КОРТ УЕСТКЛІФФ-ОН-СІ, ЕССЕКС SS0 0BF.)</t>
  </si>
  <si>
    <t xml:space="preserve">ТЗОВ  "МОДЕРН-ФАРМ" (кінцевий бенефіціарний власник Моісеєнко Яна Анатоліївна,  Україна, 62370, Харківська обл.,  селище міського типу Солоницівка, вул.Енергетична, будинок 5, кв. 69. </t>
  </si>
  <si>
    <t>ТЗОВ "АПТЕКА №44" (ХУДЗІК І. Г., Україна, 79495, Львівська обл., м. Львів, м. Винники(з), вул.Яворницького, будинок 44-А.</t>
  </si>
  <si>
    <t>ТЗОВ "АПТЕКА №44" (кінцевий бенійіціарний власник ХУДЗІК І. Г., Україна,  79495, Львівська обл., м. Львів, м. Винники(з), вул.Яворницького, будинок 44-А.</t>
  </si>
  <si>
    <t>ТЗОВ "АПТЕКА №44" (кінцевий бенійіціарний власник ХУДЗІК І. Г., Україна, 79495, Львівська обл., м. Львів, м. Винники(з), вул.Яворницького, будинок 44-А.</t>
  </si>
  <si>
    <t>ТЗОВ "БІОЛАБС" (кінцевий бенефіціарний власник Лапко А. О.,  Україна, 09713, Київська обл., Бучанський р-н, с. Чайки, вул.Коцюбинського, будинок 8, квартира 90.)</t>
  </si>
  <si>
    <t>ТЗОВ "ЕЛПІС"  ( кінцевий бенефіціарний власник - Е. Р. НОЕЛЬ ДІКСОН, СПОЛУЧЕНЕ КОРОЛІВСТВО ВЕЛИКОЇ БРИТАНІЇ ТА ПІВНІЧНОЇ ІРЛАНДІЇ ВЕЛИКОБРИТАНІЯ, 10  )</t>
  </si>
  <si>
    <t>ТЗОВ "ЕЛПІС" ( кінцевий бенефіціарний власник ЕНДРЮ РОДНІ НОЕЛЬ ДІКСОН, СПОЛУЧЕНЕ КОРОЛІВСТВО ВЕЛИКОЇ БРИТАНІЇ ТА ПІВНІЧНОЇ ІРЛАНДІЇ , 10 ЕЛМС КОРТ УЕСТКЛІФФ-ОН-СІ, ЕССЕКС SS0 0BF.</t>
  </si>
  <si>
    <t xml:space="preserve">ТЗОВ "ЕЛПІС" ( кінцевий бенефіціарний власник ЕНДРЮ РОДНІ НОЕЛЬ ДІКСОН, СПОЛУЧЕНЕ КОРОЛІВСТВО ВЕЛИКОЇ БРИТАНІЇ ТА ПІВНІЧНОЇ ІРЛАНДІЇ , 10 ЕЛМС КОРТ УЕСТКЛІФФ-ОН-СІ, ЕССЕКС SS0 0BF. </t>
  </si>
  <si>
    <t>ТЗОВ "ЕЛПІС" (кінцевий бенефіцеарний власник  Е. Р. Н. ДІКСОН,  ВЕЛИКОБРИТАНІЯ , 10 ЕЛМС КОРТ УЕСТКЛІФФ-ОН-СІ, ЕССЕКС SS0 0BF.  ТЗОВ "УКРКОМІНВЕСТ",  Україна, 01034, м. Київ, ВУЛ. ОЛЕСЯ ГОНЧАРА, б. 45-В)</t>
  </si>
  <si>
    <t>ТЗОВ "ЕЛПІС" (кінцевий бенефіцеарний власник Е. Р. Н. ДІКСОН, ВЕЛИКОБРИТАНІЯ , 10 ЕЛМС КОРТ УЕСТКЛІФФ-ОН-СІ, ЕССЕКС SS0 0BF. ТЗОВ "УКРКОМІНВЕСТ", Україна, 01034, м. Київ, ВУЛ. ОЛЕСЯ ГОНЧАРА, б. 45-В)</t>
  </si>
  <si>
    <t>ТЗОВ ''ДЕЗОДАР'' ( кінцевий бенефіціарний власник ДЯТЛОВ ВАДИМ БОРИСОВИЧ, Україна,  08292, Київська обл., м. Буча(з), пров.Садовий, будинок 13.)</t>
  </si>
  <si>
    <t>ТЗОВ ''ДЕЗОДАР'' (кінцевий бенефіціарний власник  ДЯТЛОВ В. Б.,  Україна, 08292, Київська обл., м. Буча(з), пров.Садовий, будинок 13.)</t>
  </si>
  <si>
    <t>ТОВ " Медичний центр "М.Т.К."</t>
  </si>
  <si>
    <t>ТОВ "ІНСТИТУТ ЕКОНОМІЧНОЇ ОСВІТИ І РОЗВИТКУ" (кінцевий бенефіціарний власник-Цимбаленко Є.П., м. Київ, вул.Запорожця П.б,9/6,Цимбаленко Д.П.,м.Київ, вул.Запорожця Петра (Дніпровський р-н), будинок 9, квартира 6)</t>
  </si>
  <si>
    <t>ТОВ "БІОАЛЬТЕРНАТИВА" (кінцевий бенефіціарний власник-КОЦЬО І.С.,м. Львів, вул.Драгана М.,19/ 37,КУСПІСЬ Б. М.,м. Львів, вул.Петлюри С.,30/18,ТАРАНСЬКИЙ І.П., м. Львів, вул.Дорошенка П., 73/14)</t>
  </si>
  <si>
    <t>ТОВ "Галицька здоба"</t>
  </si>
  <si>
    <t>ТОВ "ДРОГОБИЧКИСЕНЬГАЗ ЛХЗ" ( кінцевий бенефіціарний власник-БОРЩ Д.А., 79070, Львівська обл., м. Львів, вул.Бережанська, 15А.)</t>
  </si>
  <si>
    <t>ТОВ "ДРОГОБИЧКИСЕНЬГАЗ ЛХЗ" (кінцевий бенефіціарний власник-БОРЩ ДАРІЯ АНДРІЇВНА, Україна, Україна, 79070, Львівська обл., місто Львів, вул.Бережанська, будинок 15А)</t>
  </si>
  <si>
    <t>ТОВ "ЕЛПІС" (КІНЦЕВИЙ БЕНЕФІЦІАРНИЙ ВЛАСНИК - ЕНДРЮ РОДНІ НОЕЛЬ ДІКСОН, ВЕЛИКОБРИТАНІЯ, ТОВ "УКРКОМІНВЕСТ", Код ЄДРПОУ:33548902,Україна, м.Київ, вул. О. ГОНЧАРА, 45-В)</t>
  </si>
  <si>
    <t>ТОВ "ЕЛПІС" (ТЗОВ "ЕЛПІС" (кінцевий бенефіцеарний власник Е. Р. Н. ДІКСОН, ВЕЛИКОБРИТАНІЯ , 10 ЕЛМС КОРТ УЕСТКЛІФФ-ОН-СІ, ЕССЕКС SS0 0BF. ТЗОВ "УКРКОМІНВЕСТ", Україна, 01034, м. Київ, ВУЛ. ОЛЕСЯ ГОНЧАРА, б. 45-В))</t>
  </si>
  <si>
    <t>ТОВ "МІЖНАРОДНИЙ ЦЕНТР ФІНАНСОВО-ЕКОНОМІЧНОГО РОЗВИТКУ-УКРАЇНА" (кінцевий бенефіціарний власник-Якобс Рассел Лоуренс, Сполучене Королівство., Ізраїль, 65150, м.Тель-Авів, вулиця Шабазі,17.)</t>
  </si>
  <si>
    <t>ТОВ "МЕДИЧНИЙ ЦЕНТР "М.Т.К."(кінцевий бенефіціарний власник-Деркач Н.М., м.Київ, вул.Клінічна, 23-25/173, Гуменюк М.І., м. Київ, вул.Клінічна, 23-25/173.)</t>
  </si>
  <si>
    <t>ТОВ "НАУКОВО-ВИРОБНИЧА КОМПАНІЯ "УКРЕКОПРОМ" (бенефіціарний власник -ДУМБРАВА І.М.58032, м. Чернівці вул.Головна, 222/98, НЕЧИТАЙЛО О.Л., 65111, м. Одеса, вул.Бочарова генерала,16/15,САРГСЯН ТАТЕВІК, Вірменія., 65033, місто Одеса, вул.Литовська, 8.</t>
  </si>
  <si>
    <t>ТОВ "НЕСТО" (кінцевий бенефіціарний власник-ЖАРКОВСЬКА А.Ю., м. Львів, вул.Ромашкова, 8А.)</t>
  </si>
  <si>
    <t>ТОВ "ПРОМО-МЕД" ( кінцевий бенефіціарний власник- ПЕТРУХ Н. Б., Україна, 79058, м. Львів, вул.Шеремети П., 17, ПЕТРУХ А.В., Україна, 79058, м. Львів, вул.Куліша П., 47/1-а.)</t>
  </si>
  <si>
    <t>ТОВ "РАДІО НЕТВОРК" (кінц. бенеф.вл.-БРУНАРСЬКИЙ А.Р., м.Львів, вул.Сєченова І., 3/8, ЗАГОРОДНИК А.З., Львівська обл., Старосамбірський р-н, м.Хирів, вул.Січ.Стрільців,69,ТОМІЩАК Ю.М., Львівська обл., м. Дрогобич, вул.Сагайдачного Петра,118/6)</t>
  </si>
  <si>
    <t>ТОВ "ФАРМАСЕЛ" ( кінцевий бенефіціарний власник-Лисицький А.Г., м.Донецьк, вул.Шевченка,52/6,  Михайличенко О.А. 08158, Київська обл., Фастівський р-н, село Малютянка, вул.Васильківська, 7.)</t>
  </si>
  <si>
    <t>ТОВ Атаксит</t>
  </si>
  <si>
    <t>ТОВ МЕДСЕРВІСГРУП</t>
  </si>
  <si>
    <t>ТОВ Міамед</t>
  </si>
  <si>
    <t>ТОВ"АПТЕКА ДОБРОГО ДНЯ" (кінцевий бенефіціарний власник-Рутман Рафаель, Сполучене Королівство, Сполучене Королівство, СПОЛУЧЕНЕО ВЕЛИКОЇ БРИТАНІЇ ТА ПІВНІЧНОЇ ІРЛАНДІЇ, NW110, ЛОНДОН, вул. КРЕНБОРН ГАРДЕНС, 29)</t>
  </si>
  <si>
    <t>ТОВ"ПРОМО-МЕД" (кінцевий бенефіціарний власник-ПЕТРУХ Н.Б., м. Львів, вул.Шеремети П.,17, ПЕТРУХ А.В., м.Львів, вул.Куліша П., 47/1-а.)</t>
  </si>
  <si>
    <t>ТОВАРИСТВО З ДОДАТКОВОЮ ВІДПОВІДАЛЬНІСТЮ "СТРАХОВА КОМПАНІЯ "ГАРДІАН"</t>
  </si>
  <si>
    <t>ТОВАРИСТВО З ОБМЕЖЕНОЮ ВІДПОВІДАЛЬНІСТЮ "ЄВРОЕКСПЕРТИЗА"</t>
  </si>
  <si>
    <t>ТОВАРИСТВО З ОБМЕЖЕНОЮ ВІДПОВІДАЛЬНІСТЮ "ЄВРОЕНЕРГОСИСТЕМИ"</t>
  </si>
  <si>
    <t>ТОВАРИСТВО З ОБМЕЖЕНОЮ ВІДПОВІДАЛЬНІСТЮ "ІНЖЕНЕРНО-ВИРОБНИЧА ФІРМА "РЕМТЕХГАЗ"</t>
  </si>
  <si>
    <t>ТОВАРИСТВО З ОБМЕЖЕНОЮ ВІДПОВІДАЛЬНІСТЮ "АВТОЄВРОТРЕЙД"</t>
  </si>
  <si>
    <t>ТОВАРИСТВО З ОБМЕЖЕНОЮ ВІДПОВІДАЛЬНІСТЮ "АКУМДРАЙВ"</t>
  </si>
  <si>
    <t>ТОВАРИСТВО З ОБМЕЖЕНОЮ ВІДПОВІДАЛЬНІСТЮ "АЛЛХІМ"</t>
  </si>
  <si>
    <t>ТОВАРИСТВО З ОБМЕЖЕНОЮ ВІДПОВІДАЛЬНІСТЮ "АПТЕКА ДОБРОГО ДНЯ"</t>
  </si>
  <si>
    <t>ТОВАРИСТВО З ОБМЕЖЕНОЮ ВІДПОВІДАЛЬНІСТЮ "АПТЕКА №44"</t>
  </si>
  <si>
    <t>ТОВАРИСТВО З ОБМЕЖЕНОЮ ВІДПОВІДАЛЬНІСТЮ "АПТЕКА №44" (кінцевий бенефіціарний власник-ХУДЗІК І.Г., 79495, Львівська обл., м.Львів, місто Винники, вул.Яворницького, 44-А.)</t>
  </si>
  <si>
    <t>ТОВАРИСТВО З ОБМЕЖЕНОЮ ВІДПОВІДАЛЬНІСТЮ "АПТЕКА №44" (кінцевий бенефіціарний власник-ХУДЗІК І.Г., м. Львів, м.Винники(з), вул.Яворницького,44-А.)</t>
  </si>
  <si>
    <t>ТОВАРИСТВО З ОБМЕЖЕНОЮ ВІДПОВІДАЛЬНІСТЮ "АСКЕП"</t>
  </si>
  <si>
    <t>ТОВАРИСТВО З ОБМЕЖЕНОЮ ВІДПОВІДАЛЬНІСТЮ "АТ-ФАРМА"</t>
  </si>
  <si>
    <t>ТОВАРИСТВО З ОБМЕЖЕНОЮ ВІДПОВІДАЛЬНІСТЮ "БІОАЛЬТЕРНАТИВА"</t>
  </si>
  <si>
    <t>ТОВАРИСТВО З ОБМЕЖЕНОЮ ВІДПОВІДАЛЬНІСТЮ "БІОЛАБС" (кінцевий бенефіціарний власник-Лапко А.О.,Київська обл., Бучанський р-н, село Чайки, вул.Коцюбинського, 8/90, Щуліпенко Л.І., м. Київ, вул.Бойчука Михайла,25-А/11)</t>
  </si>
  <si>
    <t>ТОВАРИСТВО З ОБМЕЖЕНОЮ ВІДПОВІДАЛЬНІСТЮ "БОРИСЛАВ-ТЕПЛО"</t>
  </si>
  <si>
    <t>ТОВАРИСТВО З ОБМЕЖЕНОЮ ВІДПОВІДАЛЬНІСТЮ "ВОЛИНЬФАРМІМПЕКС"</t>
  </si>
  <si>
    <t>ТОВАРИСТВО З ОБМЕЖЕНОЮ ВІДПОВІДАЛЬНІСТЮ "ГАЗОПОСТАЧАЛЬНА КОМПАНІЯ "НАФТОГАЗ ТРЕЙДИНГ"</t>
  </si>
  <si>
    <t>ТОВАРИСТВО З ОБМЕЖЕНОЮ ВІДПОВІДАЛЬНІСТЮ "ГАЛИЦЬКА ЗДОБА"</t>
  </si>
  <si>
    <t>ТОВАРИСТВО З ОБМЕЖЕНОЮ ВІДПОВІДАЛЬНІСТЮ "ГЕНЕРАТОР - ПЛЮС"</t>
  </si>
  <si>
    <t>ТОВАРИСТВО З ОБМЕЖЕНОЮ ВІДПОВІДАЛЬНІСТЮ "ДАКСЕРВІС ПЛЮС"</t>
  </si>
  <si>
    <t>ТОВАРИСТВО З ОБМЕЖЕНОЮ ВІДПОВІДАЛЬНІСТЮ "ЕКО ТЕПЛО ДРОГОБИЧ"</t>
  </si>
  <si>
    <t>ТОВАРИСТВО З ОБМЕЖЕНОЮ ВІДПОВІДАЛЬНІСТЮ "ЕКОПЕЛ ІНЖИНІРИНГ"</t>
  </si>
  <si>
    <t>ТОВАРИСТВО З ОБМЕЖЕНОЮ ВІДПОВІДАЛЬНІСТЮ "ЕЛПІС"</t>
  </si>
  <si>
    <t>ТОВАРИСТВО З ОБМЕЖЕНОЮ ВІДПОВІДАЛЬНІСТЮ "ЕНДО СИСТЕМИ"</t>
  </si>
  <si>
    <t>ТОВАРИСТВО З ОБМЕЖЕНОЮ ВІДПОВІДАЛЬНІСТЮ "ЕПІЦЕНТР К"</t>
  </si>
  <si>
    <t>ТОВАРИСТВО З ОБМЕЖЕНОЮ ВІДПОВІДАЛЬНІСТЮ "ЗДОРОВ'Я 24"</t>
  </si>
  <si>
    <t>ТОВАРИСТВО З ОБМЕЖЕНОЮ ВІДПОВІДАЛЬНІСТЮ "КАРДАНВАЛ СЕРВІС"</t>
  </si>
  <si>
    <t>ТОВАРИСТВО З ОБМЕЖЕНОЮ ВІДПОВІДАЛЬНІСТЮ "ЛЕДУМ"</t>
  </si>
  <si>
    <t>ТОВАРИСТВО З ОБМЕЖЕНОЮ ВІДПОВІДАЛЬНІСТЮ "ЛОЇК І ПАРТНЕРИ"</t>
  </si>
  <si>
    <t>ТОВАРИСТВО З ОБМЕЖЕНОЮ ВІДПОВІДАЛЬНІСТЮ "ЛОЇК І ПАРТНЕРИ" (кінцевий бенефіціарний власник-ЛОЇК М.С., Львівська обл.,м. Дрогобич, пров.Морозенка Н.,3.)</t>
  </si>
  <si>
    <t>ТОВАРИСТВО З ОБМЕЖЕНОЮ ВІДПОВІДАЛЬНІСТЮ "ЛЬВІВЕНЕРГОЗБУТ"</t>
  </si>
  <si>
    <t>ТОВАРИСТВО З ОБМЕЖЕНОЮ ВІДПОВІДАЛЬНІСТЮ "МАС СІСТЕМЗ"</t>
  </si>
  <si>
    <t>ТОВАРИСТВО З ОБМЕЖЕНОЮ ВІДПОВІДАЛЬНІСТЮ "МЕДИЦИНА ВМ"</t>
  </si>
  <si>
    <t>ТОВАРИСТВО З ОБМЕЖЕНОЮ ВІДПОВІДАЛЬНІСТЮ "МЕДИЧНИЙ ЦЕНТР "М.Т.К."</t>
  </si>
  <si>
    <t>ТОВАРИСТВО З ОБМЕЖЕНОЮ ВІДПОВІДАЛЬНІСТЮ "МЕДКОМПЛЕКС"</t>
  </si>
  <si>
    <t>ТОВАРИСТВО З ОБМЕЖЕНОЮ ВІДПОВІДАЛЬНІСТЮ "МЕДСЕРВІСГРУП"</t>
  </si>
  <si>
    <t>ТОВАРИСТВО З ОБМЕЖЕНОЮ ВІДПОВІДАЛЬНІСТЮ "НАВЧАЛЬНО-КОНСАЛТИНГОВИЙ ЦЕНТР "ЗАКУПІВЛІ"</t>
  </si>
  <si>
    <t>ТОВАРИСТВО З ОБМЕЖЕНОЮ ВІДПОВІДАЛЬНІСТЮ "ОККО-ПОСТАЧ"</t>
  </si>
  <si>
    <t>ТОВАРИСТВО З ОБМЕЖЕНОЮ ВІДПОВІДАЛЬНІСТЮ "ПІП ПРОДЖЕКТ" (кінцевий бенефіціарний власник-АЧАН НАТАЛІЯ ЛЕОНІДІВНА, м.Дніпро, вул.Лисиченко Марії, 15/ 17)</t>
  </si>
  <si>
    <t>ТОВАРИСТВО З ОБМЕЖЕНОЮ ВІДПОВІДАЛЬНІСТЮ "ПРИКАРПАТСЬКА БУДІВЕЛЬНА КОМПАНІЯ" ( кінцевий бенефіціарний власник-ДРАНОВСЬКИЙ В.І., 82630, Львівська обл., Стрийський р-н, с. Коростів, вул.Франка Ів.1-К. )</t>
  </si>
  <si>
    <t>ТОВАРИСТВО З ОБМЕЖЕНОЮ ВІДПОВІДАЛЬНІСТЮ "ПРОМО-МЕД"</t>
  </si>
  <si>
    <t>ТОВАРИСТВО З ОБМЕЖЕНОЮ ВІДПОВІДАЛЬНІСТЮ "ПРОМО-МЕД" (кінцевий бенефіціарний власник-ПЕТРУХ Н.Б., м.Львів, вул.Шеремети П., 17, ПЕТРУХ А.В., м. Львів, вул.Куліша П. 47/1-а)</t>
  </si>
  <si>
    <t>ТОВАРИСТВО З ОБМЕЖЕНОЮ ВІДПОВІДАЛЬНІСТЮ "РЕМБУДКОНСАЛТІНГ"</t>
  </si>
  <si>
    <t>ТОВАРИСТВО З ОБМЕЖЕНОЮ ВІДПОВІДАЛЬНІСТЮ "СКАЙ-ФАРМА" (кінцевий бенефіціарнмй власник-КОШЕЛЬ ОКСАНА АНАТОЛІЇВНА, Україна, Україна, 65039, Одеська обл., місто Одеса, пр.Гагаріна, будинок 16/1, квартира 26.)</t>
  </si>
  <si>
    <t>ТОВАРИСТВО З ОБМЕЖЕНОЮ ВІДПОВІДАЛЬНІСТЮ "СПЕЦМОНТАЖ №426"</t>
  </si>
  <si>
    <t>ТОВАРИСТВО З ОБМЕЖЕНОЮ ВІДПОВІДАЛЬНІСТЮ "УКРТЕКСТИЛЬ"</t>
  </si>
  <si>
    <t>ТОВАРИСТВО З ОБМЕЖЕНОЮ ВІДПОВІДАЛЬНІСТЮ "УНІЛАБ"</t>
  </si>
  <si>
    <t>ТОВАРИСТВО З ОБМЕЖЕНОЮ ВІДПОВІДАЛЬНІСТЮ "ФАРМАСЕЛ"</t>
  </si>
  <si>
    <t>ТОВАРИСТВО З ОБМЕЖЕНОЮ ВІДПОВІДАЛЬНІСТЮ "ЦЕНТР-ЕКОНОМІЧНОЇ-ОСВІТИ"</t>
  </si>
  <si>
    <t>ТОВАРИСТВО З ОБМЕЖЕНОЮ ВІДПОВІДАЛЬНІСТЮ "Ю.Р.К."</t>
  </si>
  <si>
    <t>ТОВАРИСТВО З ОБМЕЖЕНОЮ ВІДПОВІДАЛЬНІСТЮ "Ю.Р.К." (кінцевий бенефіціарний власник-СВІТЛИК РОМАН ЙОСИФОВИЧ, Україна, Україна, 79066, Львівська обл., місто Львів, вул.Сихівська, будинок 9, квартира 26.)</t>
  </si>
  <si>
    <t>ТОВАРИСТВО З ОБМЕЖЕНОЮ ВІДПОВІДАЛЬНІСТЮ ''ДЕЗОДАР'' ( кінцевий бенефіціарний власник-ДЯТЛОВ В.Б., Київська обл., м. Буча, пров.Садовий, будинок 13. )</t>
  </si>
  <si>
    <t>ТОВАРИСТВО З ОБМЕЖЕНОЮ ВІДПОВІДАЛЬНІСТЮ «ЕКСПЕРТУС ТЕК»</t>
  </si>
  <si>
    <t>ТОВАРИСТВО З ОБМЕЖЕНОЮ ВІДПОВІДАЛЬНІСТЮ АГРОФІРМА "ВАТРА" (кінцевий бенефіціарний власник-ЯНІВ М. В. 82172, Львівська обл., Дрогобицький р-н, село Станиля, вул.Карпатська, 7)</t>
  </si>
  <si>
    <t>ТРАЧ ІВАННА ВОЛОДИМИРІВНА</t>
  </si>
  <si>
    <t>ТУР НАЗАРІЙ ЮРІЙОВИЧ</t>
  </si>
  <si>
    <t>Табличка на ПВХ</t>
  </si>
  <si>
    <t>Тематичне удосконалення на циклі семінарів: Сучасні методи проведення попередніх, періодичних та позачергових психіатричних оглядів( реєстраційний номер заходу БПР 1006900),Моніторинг наркоситуації в Україні, організація та стандартизація психіатричної допомоги( реєстраційний номер заходу БПР 1006901), Діагностика хронічної алкогольної залежності методом капілярного електрофорезу з визначенням карбогідрат-негативного трансферину при проведенні попередніх, періодичних та позачергових психіатричних оглядів(реєстраційний номер заходу БПР 1006902)</t>
  </si>
  <si>
    <t>Термометр медичний максимальний скляний(код НК 024:2019-34343 Термометр капілярний для вимірювання температури тіла пацієнта))</t>
  </si>
  <si>
    <t>Тест COVID-19</t>
  </si>
  <si>
    <t>Тест Вондфо для визначення Тропоніна І W46-C4P; Тест комбінований на наркотики; Тест-система ВІЛ 1/2 W006-C; Тест для виявлення гепатиту В W003-C; Тест-система Гепатит С W005-C</t>
  </si>
  <si>
    <t>Тест д/визн. Тропоніну І, КК-МВ, міоглобіну №1 CITO TEST Troponin I, CK-MB, Myoglobin; Тест д/визн. Вірусу гепатиту В(цільна кров,сироватка,плазма) пороговий рівень-1нг/м CITO TEST HBsAq; Тест д/визн. Антитіл до вірусу гепатиту С(цільна кров,сироватка,плазма) №1 CITO TEST HCV</t>
  </si>
  <si>
    <t>Тест швидкий для визначення COVID-19 COV-S23</t>
  </si>
  <si>
    <t>Тест-смужки Contour (Контур) Plus №50; Тест д/визн. Вірусу гепатиту В(цільна кров, сироватка, плазма)пороговий рівень-1нг/м СІТО TEST HBsAg; Тест д/визн. Тропоніну І, КК-МВ, міоглобіну №1 CITO TEST Troponin I. CK-MB, Myoglobin; Тест д/визн. Антитіл до вірусу гепатиту С(цільна кров, сироватка, плазма) №1 CITO TEST HCV</t>
  </si>
  <si>
    <t>Тест-смужки Contour (Контур) plus №50</t>
  </si>
  <si>
    <t>Тест-смужки Rightest (Райтест) Elsa 50 шт; Тест-смужки Contour (Контур) Plus №50</t>
  </si>
  <si>
    <t>Тестер 383 зі звуковою індикацією+термопара</t>
  </si>
  <si>
    <t>Технічний нагляд на об'єкті: Капітальний ремонт кабінетів №9,13 та коридору в адміністративному корпусі  КНП "Стебницька міська лікарня" ДМР за адресою: вул. Січових Стрільців, 2,  місто Стебник, Львівська область</t>
  </si>
  <si>
    <t>Технічний нагляд на об'єкті: Капітальний ремонт хірургічного віділення в КНП "Стебницька міська лікарня" ДМР за адресою: Львівська обл., м.Стебник, вул. Січових Стрільців, 2</t>
  </si>
  <si>
    <t>Технічний нагляд на об’єкті: Капітальний ремонт психоневрологічного відділення в КНП «Стебницька міська лікарня» ДМР за адресою: Львівська обл., м.Стебник,вул. Січових Стрільців 2</t>
  </si>
  <si>
    <t>ТзОВ «ЕКОТЕПЛО ДРОГОБИЧ»</t>
  </si>
  <si>
    <t>Тизерцин р-н д/ін. 25мг 1 мл №10; Стерофундин ISO р-н д/інф. 500 мл №10; Платифілін р-н д/ін. 2мг/мл 1 мл №10; Плазмовен р-н 500 мл; Перекис водню 3% 200мл полім. фл.; Пентоксифілін р-н д/ін. 2% 5 мл №10; Папаверин-Д р-н д/ін. 2% 2 мл №10; Пантенол аер. 116 г; Новокаїн р-н д/ін. 0,5% 5 мл №10; Мурашиний спирт р-н 50 мл; Лідокаїн р-н д/ін. 10% 2 мл №10; Левомеколь мазь 40 г -t°; Кетолонг р-н д/ін. 3% 1 мл №10; Еуфілін р-н д/ін. 2% 5 мл №10; Димедрол р-н д/ін. 1% 1 мл №10; Аспаркам р-н д/ін. 5 мл №10; Анальгін-Дарниця р-н д/ін. 50% 2 мл №10; Амінокапронова к-та 5% 100 мл; Аміаку р-н 10% 40 мл; Реналган р-н д/ін.5 мл №5; Пірацетам р-н д/н. 20% 5 мл №10; Пантенол плюс крем 30 г; Мікролакс р-н рект. 5 мл №4; Дротаверин-Дарниця р-н д/ін. 2% 2 мл №5; Аміназин р-н 2,5% 2 мл №10</t>
  </si>
  <si>
    <t>Тип процедури</t>
  </si>
  <si>
    <t>Товариство з обмежаною відповідальністю "Даксетвіс Плюс"</t>
  </si>
  <si>
    <t>Товариство з обмеженою відповідальністю  «ПРОТЕК СОЛЮШНЗ УКРАЇНА»</t>
  </si>
  <si>
    <t>Товариство з обмеженою відповідальністю "МедКомплекс"</t>
  </si>
  <si>
    <t>Томатна паста Мак Май 480</t>
  </si>
  <si>
    <t>Труби НПВХ 110/3,2-500 зовн.; Труби НПВХ 110/3,2-1000 зовн.; Труби НПВХ 110/3,2-2000 зовн.; Труби НПВХ 110/3,2-3000 зовн.</t>
  </si>
  <si>
    <t>Трубка ендотрахеальна з манжеткою  №4(код НК 024:2019-47691 Трубка ендотрахеальна з аспіраційної манжетою); Трубка ендотрахеальна з манжеткою  №4,5(код НК 024:2019-47691 Трубка ендотрахеальна з аспіраційної манжетою); Трубка ендотрахеальна з манжеткою  №5(код НК 024:2019-47691 Трубка ендотрахеальна з аспіраційної манжетою); Трубка ендотрахеальна з манжеткою  №5,5(код НК 024:2019-47691 Трубка ендотрахеальна з аспіраційної манжетою); Трубка ендотрахеальна з манжеткою  №6(код НК 024:2019-47691 Трубка ендотрахеальна з аспіраційної манжетою); Трубка ендотрахеальна з манжеткою  №6,5(код НК 024:2019-47691 Трубка ендотрахеальна з аспіраційної манжетою); Трубка ендотрахеальна з манжеткою  №7(код НК 024:2019-47691 Трубка ендотрахеальна з аспіраційної манжетою); Трубка ендотрахеальна з манжеткою  №7,5(код НК 024:2019-47691 Трубка ендотрахеальна з аспіраційної манжетою)</t>
  </si>
  <si>
    <t>Трубка ендотрахеальна з манжеткою №4,0(код НК 024:2019-47691 Трубка ендотрахеальна з аспіраційної манжетою); Трубка ендотрахеальна з манжеткою №4,5(код НК 024:2019-47691 Трубка ендотрахеальна з аспіраційної манжетою); Трубка ендотрахеальна з манжеткою №5,0(код НК 024:2019-47691 Трубка ендотрахеальна з аспіраційної манжетою); Трубка ендотрахеальна з манжеткою №5,5(код НК 024:2019-47691 Трубка ендотрахеальна з аспіраційної манжетою); Трубка ендотрахеальна з манжеткою №6,0(код НК 024:2019-47691 Трубка ендотрахеальна з аспіраційної манжетою)</t>
  </si>
  <si>
    <t>Трубка ендотрахеальна з манжетою № 6,0(код НК 024:2019-47691 Трубка ендотрахеальна з аспіраційної манжетою); Трубка ендотрахеальна з манжетою № 6,5(код НК 024:2019-47691 Трубка ендотрахеальна з аспіраційної манжетою); Трубка ендотрахеальна з манжетою № 7,0(код НК 024:2019-47691 Трубка ендотрахеальна з аспіраційної манжетою)</t>
  </si>
  <si>
    <t>Туалетний папір Кохавинка-Велікан; Папір туалетний Кохавинка; Рушник Зетка</t>
  </si>
  <si>
    <t>Туберкулін р-н д/ін. 2ТЕ/доза 0,6 мл (6доз) №1 –t</t>
  </si>
  <si>
    <t>Тумба медична ТМед-3(код НК 024:2019-34908 Установка пересувна, візок анестезіологічний)</t>
  </si>
  <si>
    <t>Тіаміду хлорид р-н д/ін. 5% 1мл №10; Омепразол ліоф. д/п інф. р-ну 40 мг №1; Омепразол капс. 20 мг №30; Натрію хлорид р-н д/інф. 0,9% 100 мл; Метоклопрамід р-н д/ін. 0,5% 2 мл №10; Лідокаїн р-н д/ін. 2% 2мл №10; Дексаметазон р-н 4мг/мл 1 мл №5-t</t>
  </si>
  <si>
    <t>Тіаміну хлорид р-н д/ін. 5% 1 мл №10</t>
  </si>
  <si>
    <t>Тіваргін-н розчин для інфузій, 42мг/мл, 100 мл.</t>
  </si>
  <si>
    <t>Тіопентал 0,5</t>
  </si>
  <si>
    <t>УЛЛАХ НАТАЛІЯ ВАСИЛІВНА</t>
  </si>
  <si>
    <t>УПРАВЛІННЯ ПОЛІЦІЇ ОХОРОНИ У ЛЬВІВСЬКІЙ ОБЛАСТІ</t>
  </si>
  <si>
    <t>Узагальнена назва закупівлі</t>
  </si>
  <si>
    <t>Ультракаїн ДС р-н д/ін. 2мл №100; Спазмалгон р-н д/ін. 5 мл №10; Пангастро табл. 40 мг №28; Пангастро пор. 40 мг №5; Но-шпа р-н д/ін. 40мг 2мл №25; Верошпірон капс. 50 мг №30</t>
  </si>
  <si>
    <t>Утримувач пляшок 1000 мл; Станція гігєни рук AHD 2000 (педаль); Ємність для дезінфекції ЄДПО, 5000 мл; Ємність для дезінфекції ЄДПО, 3000 мл; Ємність для дезінфекції ЄДПО, 10 000 мл</t>
  </si>
  <si>
    <t>Ф-1150/48/22</t>
  </si>
  <si>
    <t>Ф-1176/139/22</t>
  </si>
  <si>
    <t>Ф-1238/336/22</t>
  </si>
  <si>
    <t>Ф-1321/726/22</t>
  </si>
  <si>
    <t>ФІЗИЧНА ОСОБА-ПІДПРИЄМЕЦЬ ЛОЗИНСЬКА ЛІДІЯ МИРОНІВНА</t>
  </si>
  <si>
    <t>ФОП Бутов Микола Лукашевич</t>
  </si>
  <si>
    <t>ФОП ГАРАСИМ'ЯК ВАСИЛЬ СТЕПАНОВИЧ</t>
  </si>
  <si>
    <t>ФОП Гладченко Марія Іванівна</t>
  </si>
  <si>
    <t>ФОП Голобутовська Г.М.</t>
  </si>
  <si>
    <t>ФОП ЖУК ЮРІЙ ІВАНОВИЧ</t>
  </si>
  <si>
    <t>ФОП Жагаляк М І</t>
  </si>
  <si>
    <t>ФОП Заїка Денис Валентинович</t>
  </si>
  <si>
    <t>ФОП Лещенко Євгеній Олександрович</t>
  </si>
  <si>
    <t>ФОП Пилипів Олег Ігорович</t>
  </si>
  <si>
    <t>ФОП Сенів Леся Євгенівна</t>
  </si>
  <si>
    <t>ФОП Фірсов Валерій Андрійович</t>
  </si>
  <si>
    <t>ФОП Шенгофер Наталія Євстахіївна</t>
  </si>
  <si>
    <t>Фарш яловичий</t>
  </si>
  <si>
    <t>Формалін р-н 5л</t>
  </si>
  <si>
    <t>Фрелсі р-н д/ін 2,5мг/05мл шприц №10; Клексан р-н д/ін 30000 МО 3мл №1; Євроцефтаз пор. д/п ін. р-ну 1000+125 мг№1; дексаметазону фосфат р-н д/ін 0,4% 1мл №10; єврозидим пор. д/п р-ну д/інг. 1г№10</t>
  </si>
  <si>
    <t>Фрелсі р-н д/ін. 2,5мг/0,5мл шприц №10; Фрелсі р-н д/ін. 2,5мг/0,5мл шприц №10; Дексаметазону фосфат р-н д/ін. 0,4% 1 мл №10</t>
  </si>
  <si>
    <t>Фрелсі розчин для ін'єкцій 2,5 мг/0,5 мл по 0,5 мл у шприці №10; Омепразол-Фармак порошок для розчину для інфузій по 40 мг №1; Рафт розчин для ін'єкцій, 4мг/мл по 1ампулі №10</t>
  </si>
  <si>
    <t>Фуросемід р-н д/ін. 1% 2 мл №10; Гепацеф пор. д/п ін. р-ну 1 г №10 -t°; Натрію хлорид р-н д/інф. 0,9% 200 мл; Лідокаїн р-н д/ін. 2% 2 мл №10; Галоперидол р-н д/ін. 5 мг 1 мл №5 (Обмежений відпуск); Бліцеф пор. д/інф. 1 г №10; АТФ р-н д/ін. 1% 1 мл №10 -t°</t>
  </si>
  <si>
    <t>Фуросемід-Дарниця р-н д/ін. 10 мг/мл амп. 2 мл, контурн. чарунк. уп., пачка №10; Омепразол-Фармак пор. д/р-ну д/інф. 40 мг фл. №1; Омепразол-Дарниця капс. 20 мг контурн. чарунк. уп., в пачці №30; Метронідазол-Дарниця р-н д/інф. 5 мг/мл фл. 100 мл №1; Метрогіл р-н д/інф. 500 мг фл. 100 мл №1</t>
  </si>
  <si>
    <t>Футорка чавун(35х15) 11/4з х 1/2в ліва.(батар.чавун) КЧ313215L(15936); Футорка чуг.(32х20) 1"1/4з х 3/4в</t>
  </si>
  <si>
    <t>Фільтер водяний косий ½ Преміум</t>
  </si>
  <si>
    <t>ХАНЯК КАТЕРИНА ВОЛОДИМИРІВНА</t>
  </si>
  <si>
    <t>ХОМ'ЯК ЛЮБОМИР МИРОСЛАВОВИЧ</t>
  </si>
  <si>
    <t>Хліб домашній "Галицький різаний", 0,600 кг; Хліб житньо-пшеничний "Галицький" різаний 0,600 кг</t>
  </si>
  <si>
    <t>Хліб пшеничний з пшеничного борошна вищого ґатунку (різаний); хліб житньо-пшенийчний (різаний)</t>
  </si>
  <si>
    <t>Цемент М400 25 кг</t>
  </si>
  <si>
    <t>Цефепім пор. д/р-ну д/ін. 1000 мг №1; Фуросемід р-н д/ін. 1% 2 мл №10; Тіаміну хлорид р-н д/ін. 5% 1 мл №10; Клексан р-н д/ін. 4000 МО шприц 0,4 мл №10; Клексан р-н д/ін. 30000 МО шприц3 мл №1; Еноксапарин р-н д/ін.0,4 г №1; Омепразол капс. 0,02 №30</t>
  </si>
  <si>
    <t>Цефопектам пор. д/ін. 1г/1г №1; Фармасулін Н р-н д/ін. 100МО/мл 10 мл №1 –t; Спиртол р-н 70% 100 мл; Спиртол р-н 96% 100 мл; Адреналіну г/т 0,18% 1 мл №10 –t</t>
  </si>
  <si>
    <t>Цефтриаксон-Віста, порошок для розчину для ін'єкцій 1 г у флаконах; Бупірол, розчин для інфузій, 4 мг/мл по 100 мл у контейнері в захисному пакеті</t>
  </si>
  <si>
    <t>Цефтриаксон-віста, порошок для розчину для ін'єкцій 1 г у флаконах; Бупірол, розчин для інфузій, 4 мг/мл по 100 мл у контейнері в захисному пакеті</t>
  </si>
  <si>
    <t>Ципрофлоксацин-Новофарм р-н д/інф. 2 мг/мл пляшка 100 мл №1; Левоміцетин-Дарниця табл. 500 мг контурн. чарунк. уп. №10; Фуразолідон табл. 50мг №20; Ципрофлоксацин табл. в/о 500 мг блістер №10; Дисоль р-н д/інф. пляшка 400 мл №1; Трисоль р-н д/інф. пляшка 400 мл №1; Ізосол р-н д/інф. контейнер 500 мл №1</t>
  </si>
  <si>
    <t>Цукор 50 кг</t>
  </si>
  <si>
    <t>Цукор ваговий 50 кг</t>
  </si>
  <si>
    <t>Ціанокобаламін р-н д/ін. 0,05% 1 мл №10; Тіотриазолін р-н д/ін. 2,5% 2 мл № 10; Супрастин р-н д/ін. 20 мг 1 мл №5; Спазмалгон р-н д/ін. 5 мл №10; Рибоксин р-н д/ін. 2% 5 мл №10; Піридоксину г/х р-н 5% 1 мл №10; Нікотинова к-та р-н д/ін. 1% 1 мл №10; Мікролакс р-н рект. 5 мл №12; Лонгокаїн Хеві р-н д/ін. 5г/мл 5 мл №5;  Корглікон р-н д/ін. 0,06% 1,0 №10; Глутаргін р-н д/ін. 40% 5 мл №10; Гіоксізон мазь 15г; Аскорбінова к-та р-н д/ін. 10% 2 мл №10</t>
  </si>
  <si>
    <t>Ціанокобаламін р-н д/ін. 0,05% 1 мл №10; Ципрофлоксацин-Новофарм р-н д/інф. 0,2% 100 мл; Фромілід табл. 500 мг №14; Тріттіко табл. 75 мг №30; Фармадипін кр. 5 мл; Трисоль р-н д/інф. 400 мл; Трисоль р-н д/інф. 200 мл; Торасемід-Сандоз табл. 20 мг №100; Тіотриазолін р-н д/ін. 2,5% 2 мл №10; Тетрациклін табл. 0,1 №20; Супрастин р-н д/ін. 20 мг 1 мл №5; Сульпірид-ЗН табл. 50 мг №30; Стерофундин ISO р-н д/інф. 500 мл №10; Стерофундин ISO р-н д/інф. 1000 мл №10; Спазмалгон р-н д/ін. 5 мл №5; Спазмалгон р-н д/ін. 5 мл №10; Синтоміцину лінімент 5% 25 г -t°; Роваміцин табл. 3,0 млн №10; Роваміцин табл. 1,5 млн №16; Рисперон табл. 2 мг №30; Рибоксин р-н д/ін. 2% 5 мл №10; Полідекса с фенилефрином спрей наз. 15 мл; Полідекса кр.вушні 10,5 мл; Платифілін р-н д/ін. 2мг/мл 1 мл №10; Піридоксину г/х р-н 5% 1 мл №10; Перекис водню р-н 3% 40 мл; Пароксин табл. 20 мг №30; Папаверин-Д р-н д/ін. 2% 2 мл №10; Пантопразол-Тева табл. 40 мг №28; Пангастро пор. 40 мг №5; Но-шпа р-н д/ін. 40 мг 2 мл №25; Нормагут капс. №10; Новокаїн р-н д/ін. 0,5% 5 мл №10; Ніфуроксазид табл. 100 мг №30; Ніфуроксазид капс. 200 мг №20; Нікотинова к-та р-н д/ін. 1% 1 мл №10; Муцитус капс. 300 мг №12; Мурашиний спирт р-н 50 мл; Мікролакс р-н рект. 5 мл №4; Мезатон 1% 1 мл №10; Лоперамід-КМП табл. 2 мг №20; Лідокаїн р-н д/ін. 10% 2 мл №10; Лідокаїн аер. 10% 38 г; Кофеїн-бензоат натрію р-н д/ін. 20% 1 мл №10; Кордіамін р-н д/ін. 25% 2 мл №10; Кордарон табл. 200 мг №30; Корвалмент капс. 0,1 г №30; Кетолонг р-н д/ін. 3% 1 мл №10; Кветирон табл. 25 мг №30; Йод-Вішфа р-н спирт. 5% 20 мл; Еспумізан L емул.40мг/мл 30 мл; Ентерол капс. 250 мг №10; Еголанза табл. 10 мг №28; Дротаверин-Дарниця р-н д/ін. 2% 2 мл №5; Діоксидин р-н д/ін. 1% 10 мл №10; Диклофенак натрію р-н д/ін. 2,5% 3 мл №10; Далацин Ц фосфат р-н д/ін. 600 мг 4 мл №1; Гіоксізон мазь 15 г; Гідрокортизон р-н д/ін. 2,5% 2 мл №10; Гідазепам ІС табл. 0,02 №20; Гіацинтія табл. 10 мг №30; Вікасол-Д р-н д/ін. 1% 1 мл №10-t°; Верапаміл р-н д/ін. 0,25% 2 мл №10; Венлаксор табл. 75 мг №30; Валідол-Дарниця табл. 0,06 г №10 -t°; Бускопан р-н д/ін. 20мг/мл 1 мл №5; Біцилін-5 пор. д/п ін. р-ну 1,5млн. ОД №1; Бісопролол-КВ табл. 5 мг №30; Бензогексоній р-н д/ін. 2,5% 1 мл №10; Барбовал 25 мл; Аспаркам р-н д/ін. 5 мл №10; Аріпразол табл. 10 мг №30; Аргітек р-н д/інф. 8мг/мл 250 мл; Амітриптиліну г/х р-н д/ін. 10мг/мл 2 мл №10 (Обмежений відпуск); Аміназин р-н 2,5% 2 мл №10; Аміаку р-н 10% 100 мл; Алмірал р-н д/ін. 75 мг 3 мл №10; L-лізину есцинат р-н д/ін. 0,1% 5 мл №10; Торасемід р-н д/ін. 5мг/мл амп. 4 мл №5; Спазмалгон р-н д/ін. 5 мл №5; Міртазапін Сандоз табл. 30 мг №20; Верошпірон капс. 50 мг №30; Беноксі кр.очні 0.4% 10 мл; Ципрофлоксацин-Новофарм р-н д/інф. 0,2% 100 мл; Називін кр.наз. 0,05% 10 мл</t>
  </si>
  <si>
    <t>Чай Ріоба 250 Асортимент</t>
  </si>
  <si>
    <t>Чай Ріоба Асортимент</t>
  </si>
  <si>
    <t>ШЕВЧЕНКО СВІТЛАНА ІВАНІВНА</t>
  </si>
  <si>
    <t>ШЕНГОФЕР НАТАЛІЯ ЄВСТАХІЇВНА</t>
  </si>
  <si>
    <t>Шафа медична ШМ-2(код НК 024:2019-10535); Столик інструментальний СІ-5 (код НК 024:2019-34909); Столик  маніпуляційний  СМ-3(код НК 024:2019-34909); Столик  анестезіолога СТ-А-2Н(код НК 024:2019-34885); Столик  маніпуляційний  СМ(код НК 024:2019-34909); Столик хірургічний СХ-2 нержавійка(код НК 024:2019-34909)</t>
  </si>
  <si>
    <t>Швидкий Уреазний Тест (AMA RUT): AMA RUT Pro</t>
  </si>
  <si>
    <t>Шланг VENTA FH3A 1,5м; Шланг для душа 800 1,5м; Шланг для душ Solone</t>
  </si>
  <si>
    <t>Шовний матеріал 4/0 ріж.,поліамід матеріали шовні хір.ст.,з атравмат голкою 20мм; Шовний матеріал Поліамід 3/0 колюча голка 25мм; Шовний матеріал Поліамід 2/0 колюча голка 25мм; Шовний матеріал Поліамід 0 колюча голка 1/2 кола 40мм 75 см; Шовк №4; Шовк ст. №5; Шовк ст. №3 1,5м без голки; Шовк ст. №3 1,5м без голки; Серветки марл. ст. Білосніжка 45см*29см 2 шар. №1; Лейкопластир хір. проз. Леотранс 1,25см*5м №1; Лейкопластир Транспор 2,5см*9,1м (1527-1); Лейкопластир Мікропор на діспенсері 12,5мм*5м; Лейкопластир мед. на ткан. основі 2см*500см; Лейкопластир мед. на полім. основі 2,5см*500см в котушці з підвісом; Лейкопластир мед. "FP Family Plast" (Фемілі Пласт) на шовк. основі 2,5см*500см; Лейкопластир мед. "FP Family Plast" (Фемілі Пласт) на ткан. основі 5см*500см; Лейкопластир мед. "FP Family Plast" (Фемілі Пласт) на полім. основі 1,25см*500см; Лейкопластир Леотранс 5см*5м №1; Лейкопластир кат. 1,25см*9,1см хір. Мікропор; Лейкопластир Urgo (Урго) Ургофілм 5м*2,5см прозор.; Лейкопластир Urgo (Урго) Ургофілм 5м*1,25см; Лейкопластир Urgo (Урго) Ургосівал 5м*5см; Лейкопластир Urgo (Урго) Ургосівал 5м*2,5 см; Лейкопластир Urgo (Урго) Ургосівал шовкова стрічка 5м*1,25см; Лейкопластир Urgo (Урго) Ургопор 5м*2,5см гіпоалерг.; Лейкопластир Urgo (Урго) Ургопор 5м*1,25см гіпоалерг.; Лезо хір. ст. р.15; Леза д/скальпелю Medicare (Медікеа) (23) №1; Леза д/скальпелю Medicare (Медікеа) (22) №1; Леза д/скальпелю Medicare (Медікеа) (21) №1; Леза д/скальпелю Medicare (Медікеа) (15) №1; Леза д/скальпелю Medicare (Медікеа) (11) №1; Кетгут №3; Капрон-Б ст. №5 = 1,25 м; Капрон-Б ст. №4 = 1,25 м; Капрон-Б ст. №2,5 = 1,25 м; Вата н/ст. 50 г гігроск. рол.; Відріз марл. н/ст. 5 м*90 см; Відріз марл. н/ст. 10м*90см; Відріз марл. н/ст. 1м*90см</t>
  </si>
  <si>
    <t>Шорти одноразові</t>
  </si>
  <si>
    <t>Шпаклівка "Кнауф" 30 кг старт.; Шпаклівка "Кнауф" 25 кг фініш</t>
  </si>
  <si>
    <t>Шпаклівка по дереву "Farbex" дуб 0,35кг; Уніпак мал. 65г</t>
  </si>
  <si>
    <t>Шприц 2 ml (мл) луєр трьохкомпонентний ін’єкційний одноразового застосування з двома голками 0,6х32 mm (мм) (23Gx1 1/4)/0,55х25 mm (мм) (24Gx1)</t>
  </si>
  <si>
    <t>Шуруповерт VORHUT VDS-85; Шліфувальна машина</t>
  </si>
  <si>
    <t>ЯРОЦЬКА ДІАНА МИРОСЛАВІВНА</t>
  </si>
  <si>
    <t>Якщо ви маєте пропозицію чи побажання щодо покращення цього звіту, напишіть нам, будь ласка:</t>
  </si>
  <si>
    <t>Ялівець лускатий TROPICAL; Туя західна Janet Gold form</t>
  </si>
  <si>
    <t>активний</t>
  </si>
  <si>
    <t>анальгін-Дарниця, розч. для ін. 500 мг/мл по 2мл в ампулі №10; димедрол, розч. для ін. по 1 мл в амп. №10; диклофенак-Дарниця, розч. для ін., 25мг/мл по 3 мл в амп. №10; алмірал 75 мг/3мл №10 амп; платифілін-Дарниця, розч.для ін. 2 мг/мл по 1мл в амп. №10; нітрогліцерин, табл. сублінгвінальні по 0,5 мг №40; фуросемід-Дарниця, розч. для ін., 10 мг/мл по 2 мл в амп. №10</t>
  </si>
  <si>
    <t>батарейка CR2016; батарейка CR2025</t>
  </si>
  <si>
    <t>бахіли одноразові; катетер в/в синій; катетер в/в жовтий; рукавиці одноразові нітрилові оглядові неприпудрені в асортименті; рукавиці медичні стерильні в асортименті; сечоприймач одноразовий 2л; система одноразова ПР; шапочка одноразова РР; шприц одноразовий 50,0</t>
  </si>
  <si>
    <t>бензин А-95; дизельне паливо</t>
  </si>
  <si>
    <t>бинт марлевий медичний 5*10см н/с; бинт марлевий медичний 7*14 см н/с;  лезо стерильне №11; шовний матеріал НЕЙЛОН 3/0(2); шовний матеріал НЕЙЛОН (0) (М3,5); шовний матеріал ПОЛІАМІД 2/0; шовний матеріал ПОЛІАМІД 4/0; шовний матеріал ПОЛІГЛЮКОЛІД 5/0; лейкопластир 2*500 мед. на бавовняній основі</t>
  </si>
  <si>
    <t>бинт марлевий медичний 7*14 см н/с; бинт марлевий медичний 5*10 см н/с</t>
  </si>
  <si>
    <t>буряк столовий; морква; цибуля; капуста качанна</t>
  </si>
  <si>
    <t>вакуумна пробірка Vacumed 13*75 мм, стерильна з КЗ EDTA (для 2 мл крові, з фіолетовою кришкою) 100шт; пробірка ЕДТА 200 мкл (11*40мм)</t>
  </si>
  <si>
    <t>вимикач одноклавішний; вимикач двоклавішний; розетка з заземленням</t>
  </si>
  <si>
    <t>вимірювач артеріального тиску типу BP N-1 Basic; апарат для вимірювання кров'яного тиску із стетоскопом "MEDICAR"</t>
  </si>
  <si>
    <t>відріз марлевий 1000*90 см нестерильний; сечоприймач з отвором для зливу стер. 2000 мл;  катетер (канюля) в/в з ін'єкц. портом G20 стерильна; катетер (канюля) в/в з ін'єкц. портом G22 стерильна</t>
  </si>
  <si>
    <t xml:space="preserve">відріз марлевий н/ст 3м*90см; відріз марлевий н/ст 10м*90см; відріз марлевий н/ст 1м*90см </t>
  </si>
  <si>
    <t>вікно м/п розмір 1090*1800; вікно м/п розмір 970*840</t>
  </si>
  <si>
    <t>вікно металопластикове 1900*1900; підвіконник 400*1950; відлив 240*1870</t>
  </si>
  <si>
    <t>гемаксам, р-н для ін. 50мг/мл по 10 мл в ампулі, по10 ампул в пачці з картону; гемаксам, р-н для ін. 50мг/мл по 5 мл в ампулі, по 50 ампул в пачці з картону</t>
  </si>
  <si>
    <t>гідазепам ІС табл., 0,05 №10; гідазепам ІС табл., 0,02 №20</t>
  </si>
  <si>
    <t>дитилін 20 мг/мл 5,0 №10</t>
  </si>
  <si>
    <t>дозатор ліктевий; диспенсер ER-7 білий; диспенсер RX-5 М з лотком для крапель і замком, білий</t>
  </si>
  <si>
    <t>закритий</t>
  </si>
  <si>
    <t>засіб дезінфекційний  "БактеріоДез софт" К/5000 мл</t>
  </si>
  <si>
    <t>засіб дезінфекційний "КвікДес" (вологі серветки) 100шт з клапаном; засіб дезінфекційний "БактеріоДез нью" 5л; засіб дезінфекційний "БактеріоДез квік" к/5л; асіб дезінфекційний "БактеріоДез квік" 950 мл з розпилювачем</t>
  </si>
  <si>
    <t>засіб дезінфекційний "КвікДес" (вологі серветки) 100шт з клапаном; засіб дезінфекційний "БактеріоДез нью" 5л; засіб дезінфекційний "БактеріоДез нью" к/5л</t>
  </si>
  <si>
    <t>змішувач ЄС-300; змішувач SPR AOST; змішувач SPR 005</t>
  </si>
  <si>
    <t>код НК 024:2019 -53707 С-реактивний білок (СРБ) IVD, реагент (105-000841-00 С-реактивний білок (1*40 мл+1*10 мл); НК 024:2019-53251- Креатинін IVD, набір, спектрофотометричний аналіз" (105-004614-00 Креатинін (2*27 мл+1*18 мл); НК 024:2019-59058- Миючий/очищуючий розчин ІВД для автоматизованих/полуавтоматизованих систем (105-000748-00 Очищуючий розчин (CD80),1л); НК 024:2019-47343-D-димер IVD, набір, імунохроматографічний тест (ІХТ),(IF1006 Експрес-тест D-Dimer Fast Test Kit (Immunoflurescence Fssay),25 шт/уп; НК 024:2019-54316-Прокальцитонін IVD, реагент (IF 1007 Експрес-тест РСТ Fast Test Kit (Immunoflurescence Fssay),25 шт/уп); НК 024:2019-54514-Тест-смужки діагностичні для аналізу сечі, числені аналізи сечі IVD, набір, колориметрична тест-смужка, експрес-аналіз (U-11 Тестові смужки, уп 100шт)</t>
  </si>
  <si>
    <t>кран водяний 1/2 вн, зовн.; змішувач для умивальника; сифон для умивальника</t>
  </si>
  <si>
    <t>лампи LED 6W; лампи 100Вт</t>
  </si>
  <si>
    <t>лейкопластир 2*500 Тета; лейкопластир 1*500 Тета; бинт гіпсовий 2,7*20 см Білосніжка; бинт гіпсовий 2,7*15 см Білосніжка; бинт гіпсовий 2,7*10 см Білосніжка; лезо д/скальпелю №23</t>
  </si>
  <si>
    <t>м'ясо свинини; філе куряче; м’ясо свійської птиці свіже, охолоджене (тушки курей)</t>
  </si>
  <si>
    <t>м'ясо свинини; філе куряче; тушки курей</t>
  </si>
  <si>
    <t>мастило "Рідкий кллюч"; рідке скло</t>
  </si>
  <si>
    <t>набір реагентів "Масло імерсійне"; сечові смужки LabAnalyt 11G; Азур-Еозин по Романовському з буфером; RPR-carbon-тест 100</t>
  </si>
  <si>
    <t>од ДК 021:2015-50110000-9 Послуги з ремонту і технічного обслуговування мототранспортних засобів і супутнього обладнання (поточне обслуговування автомобіля Renault Logan №ВС 1272ІА)</t>
  </si>
  <si>
    <t>пелюшки для дорослих ID Protect Plus 60*90 №30; пелюшки для дорослих ID Protect Plus 40*90 №30</t>
  </si>
  <si>
    <t>плінтус пластиковий 2,5м; з'єднання, заглушки до плінтуса; кут внутрішній; поріг металевий 1,35м; кріплення для унітазу</t>
  </si>
  <si>
    <t>подовжувач Perfusor оригінальна лінія 150 см з голкою; маска д/дор. киснева Medicare №1</t>
  </si>
  <si>
    <t>пробірка VACUSEL з блакитною кришкою, цитрат натрію 3,2% 13/75 мм, 2,7 мл (уп. 100 шт); пробірка VACUSEL з бузковою кришкою,КЗЕДТА, 13*75мм, 2мм (уп.100шт)</t>
  </si>
  <si>
    <t>пробірка вакуумна Гранум для забору крові з EDTA КЗ; розмір 13*75 мм; об'єм 4,0 мл, пластик (100шт/упаков.); пробірка вакуумна Гранум для забору крові без наповнювача; розмір 13*75 мм; об'єм 5,0 мл, пластик (100шт/упаков.); пробірка пластикова 2мл, нестерильна, з кришкою, кругле дно (500шт/упаков); пробірка вакуумна Гранум для забору крові з натрієм цитратом 3,2%; розмір 13*75 мм; об'єм 4,0 мл, пластик (100шт/упаков.)</t>
  </si>
  <si>
    <t>прожектор LED LEBRON LF 300W. 600W</t>
  </si>
  <si>
    <t>підгузники  для дорослих ID Slip Plus M №30; підгузники  для дорослих ID Slip Plus L №30; пелюшки для дорослих ID Protect Plus 60*90 №30</t>
  </si>
  <si>
    <t>піпетка мед. у пласт. фут. №1; лейкопластир бакт.2,5*7,6; ланцети Gamma №200</t>
  </si>
  <si>
    <t>регідрон-Оптім пор. д/орал. р-ну 10,7 г №20; аритміл р-н д/ін. 50мг/мл №5; ондансетрон р-н д/ін 2мг/мл 4мл №5; ондасетрон р-н д/ін 2мг/мл 2 мл№5; омепразол ліоф. д/п інф. р-ну 40мг№1; натрію хлорид р-н д/інф. 0,9% 100 мл; метоклопрамід р-н д/ін. 0,5% 2 мл №10; медаксон пор. 1 г №10; лідокаїн р-н д/ін. 2% 2 мл №10; доксициклін г/х капс. 0,1 г №10;  гепацеф пор. д/п ін. р-ну 1г №10; АТФ 1% 1мл №10 амп; амоксиклав пор. д/п р-ну 1200 мг №5; азитроміцин-Здоров'я капс. 500 мг №3</t>
  </si>
  <si>
    <t>розчин Рінгер-лактатний розчин для інфузій по 200мл; розчин Рінгера розчин для інфузій по 200мл; Сангера розчин для ін'єкцій 100мг/мл по 5 мл в ампулі №5</t>
  </si>
  <si>
    <t>серцевина імперіал 90 45х45-С - СР 5 кл.</t>
  </si>
  <si>
    <t>спирт етиловий р-н 96% 100 мл; спирт етиловий р-н 70% 100 мл</t>
  </si>
  <si>
    <t>тест-касета Sniper (Снайпер) д/визн. 5 наркотиків (сеча)</t>
  </si>
  <si>
    <t>тест-смужки для визначення вагітності Itest (Ітест) Plus; тести для визначення тропоніну І, КК-МВ, міоглобіну №1 CITO TEST Troponin I ,CK-MB, Myoglobin; тести для визначення міоглобіну/KK-MB/тропоніну-І №1 CITO TEST Cardio Combo; тести для визначення вірусу гепатиту В (цільна кров,сироватка,плазма) пороговий рівень – 1нг/м CITO TEST HBsAg; тести для визначення антитіл до вірусу гепатиту С (цільна кров,сироватка,плазма) №1 CITO TEST HCV;  тести для визначення антитіл до ВІЛ 1 та 2 типів (цільна кров,сироватка,плазма) №1 CITO TEST HIV 1/2; тести для визначення антигену Хелікобактер Пілорі (фекалії) №1 CITO TEST H.Pylori Ag</t>
  </si>
  <si>
    <t>технічне діагностування вогнегасника ВП-2; технічне діагностування вогнегасника ВВК 1.4</t>
  </si>
  <si>
    <t>фарба водоемульсійна, 4кг; емаль блакитна ПФ 115, 2,8 кг; емаль біла ПФ 115, 0,9 кг</t>
  </si>
  <si>
    <t>фуросемід р-н д/ін. 1% 2 мл №10; ібупрофен Д табл. 0,2г; адреналіну г/т 0,18% 1  мл №10</t>
  </si>
  <si>
    <t>хліб пшеничний різаний (0,6); хліб столовий різаний (0,6)</t>
  </si>
  <si>
    <t>холодильник ВЕКО Т 5190020 V 88л; морозильна камера CS 20141 M N 200л</t>
  </si>
  <si>
    <t>шафа-купе 5-ти дверна; стелаж 5,3м*2,1м</t>
  </si>
  <si>
    <t>шланг до води 0,60 м п/м; шланг до води 0,40 м п/м</t>
  </si>
  <si>
    <t>шприц ін'єкційний одноразового застосування 2 мл; шприц ін'єкційний одноразового застосування 5 мл; шприц ін'єкційний одноразового застосування 10 мл; шприц ін'єкційний одноразового застосування 20 мл; система для в/в вливань ПР; катетер (канюля) в/в з ін'єкц. портом G20 стерильна; катетер (канюля) в/в з ін'єкц. портом G22 стерильна</t>
  </si>
  <si>
    <t>№</t>
  </si>
</sst>
</file>

<file path=xl/styles.xml><?xml version="1.0" encoding="utf-8"?>
<styleSheet xmlns="http://schemas.openxmlformats.org/spreadsheetml/2006/main">
  <numFmts count="2">
    <numFmt numFmtId="165" formatCode="yyyy-mm-dd"/>
    <numFmt numFmtId="166" formatCode="dd.mm.yyyy"/>
  </numFmts>
  <fonts count="4">
    <font>
      <sz val="11"/>
      <color theme="1"/>
      <name val="Calibri"/>
      <family val="2"/>
      <scheme val="minor"/>
    </font>
    <font>
      <sz val="10.0"/>
      <color rgb="00000000"/>
      <name val="Calibri"/>
      <family val="2"/>
    </font>
    <font>
      <sz val="10.0"/>
      <color rgb="0000FF"/>
      <name val="Calibri"/>
      <family val="2"/>
    </font>
    <font>
      <sz val="10.0"/>
      <color rgb="FFFFFF"/>
      <name val="Calibri"/>
      <family val="2"/>
      <b/>
    </font>
  </fonts>
  <fills count="3">
    <fill>
      <patternFill patternType="none"/>
    </fill>
    <fill>
      <patternFill patternType="gray125"/>
    </fill>
    <fill>
      <patternFill patternType="solid">
        <fgColor rgb="008000"/>
      </patternFill>
    </fill>
  </fills>
  <borders count="2">
    <border>
      <left/>
      <right/>
      <top/>
      <bottom/>
      <diagonal/>
    </border>
    <border>
      <left style="medium">
        <color rgb="FFFFFF"/>
      </left>
      <right style="medium">
        <color rgb="FFFFFF"/>
      </right>
      <top style="medium">
        <color rgb="FFFFFF"/>
      </top>
      <bottom style="medium">
        <color rgb="FFFFFF"/>
      </bottom>
      <diagonal/>
    </border>
  </borders>
  <cellStyleXfs count="1">
    <xf numFmtId="0" fontId="0" fillId="0" borderId="0"/>
  </cellStyleXfs>
  <cellXfs count="9">
    <xf numFmtId="0" fontId="0" fillId="0" xfId="0" borderId="0"/>
    <xf numFmtId="0" fontId="1" fillId="0" xfId="0" borderId="0" applyFont="1"/>
    <xf numFmtId="0" fontId="2" fillId="0" xfId="0" borderId="0" applyFont="1"/>
    <xf numFmtId="0" fontId="3" fillId="2" xfId="0" borderId="1" applyFont="1" applyBorder="1" applyFill="1" applyAlignment="1">
      <alignment horizontal="center" wrapText="1"/>
    </xf>
    <xf numFmtId="1" fontId="1" fillId="0" xfId="0" borderId="0" applyFont="1" applyNumberFormat="1"/>
    <xf numFmtId="4" fontId="1" fillId="0" xfId="0" borderId="0" applyFont="1" applyNumberFormat="1"/>
    <xf numFmtId="165" fontId="0" fillId="0" xfId="0" borderId="0" applyNumberFormat="1"/>
    <xf numFmtId="166" fontId="1" fillId="0" xfId="0" borderId="0" applyFont="1" applyNumberFormat="1"/>
  </cellXfs>
  <cellStyles count="1">
    <cellStyle name="Normal" xfId="0" builtinId="0"/>
  </cellStyles>
  <dxfs count="0"/>
  <tableStyles count="0" defaultTableStyle="TableStyleMedium9" defaultPivotStyle="PivotStyleLight16"/>
</styleSheet>
</file>

<file path=xl/_rels/workbook.xml.rels><ns0:Relationships xmlns:ns0="http://schemas.openxmlformats.org/package/2006/relationships">
  <ns0:Relationship Id="rId1" Target="worksheets/sheet1.xml" Type="http://schemas.openxmlformats.org/officeDocument/2006/relationships/worksheet"/>
  <ns0:Relationship Id="rId2" Target="sharedStrings.xml" Type="http://schemas.openxmlformats.org/officeDocument/2006/relationships/sharedStrings"/>
  <ns0:Relationship Id="rId3" Target="styles.xml" Type="http://schemas.openxmlformats.org/officeDocument/2006/relationships/styles"/>
  <ns0:Relationship Id="rId4" Target="theme/theme1.xml" Type="http://schemas.openxmlformats.org/officeDocument/2006/relationships/theme"/>
</ns0: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ns0:Relationships xmlns:ns0="http://schemas.openxmlformats.org/package/2006/relationships">
  <ns0:Relationship Id="rId1" Type="http://schemas.openxmlformats.org/officeDocument/2006/relationships/hyperlink" Target="mailto:report.zakupki@prom.ua" TargetMode="External"/>
  <ns0:Relationship Id="rId2" Type="http://schemas.openxmlformats.org/officeDocument/2006/relationships/hyperlink" Target="https://my.zakupki.prom.ua/remote/dispatcher/state_purchase_view/39116009" TargetMode="External"/>
  <ns0:Relationship Id="rId3" Type="http://schemas.openxmlformats.org/officeDocument/2006/relationships/hyperlink" Target="https://my.zakupki.prom.ua/remote/dispatcher/state_contracting_view/14813534" TargetMode="External"/>
  <ns0:Relationship Id="rId4" Type="http://schemas.openxmlformats.org/officeDocument/2006/relationships/hyperlink" Target="https://my.zakupki.prom.ua/remote/dispatcher/state_purchase_view/39114732" TargetMode="External"/>
  <ns0:Relationship Id="rId5" Type="http://schemas.openxmlformats.org/officeDocument/2006/relationships/hyperlink" Target="https://my.zakupki.prom.ua/remote/dispatcher/state_contracting_view/14812728" TargetMode="External"/>
  <ns0:Relationship Id="rId6" Type="http://schemas.openxmlformats.org/officeDocument/2006/relationships/hyperlink" Target="https://my.zakupki.prom.ua/remote/dispatcher/state_purchase_view/39113728" TargetMode="External"/>
  <ns0:Relationship Id="rId7" Type="http://schemas.openxmlformats.org/officeDocument/2006/relationships/hyperlink" Target="https://my.zakupki.prom.ua/remote/dispatcher/state_contracting_view/14812392" TargetMode="External"/>
  <ns0:Relationship Id="rId8" Type="http://schemas.openxmlformats.org/officeDocument/2006/relationships/hyperlink" Target="https://my.zakupki.prom.ua/remote/dispatcher/state_purchase_view/39292751" TargetMode="External"/>
  <ns0:Relationship Id="rId9" Type="http://schemas.openxmlformats.org/officeDocument/2006/relationships/hyperlink" Target="https://my.zakupki.prom.ua/remote/dispatcher/state_contracting_view/14895980" TargetMode="External"/>
  <ns0:Relationship Id="rId10" Type="http://schemas.openxmlformats.org/officeDocument/2006/relationships/hyperlink" Target="https://my.zakupki.prom.ua/remote/dispatcher/state_purchase_view/38982335" TargetMode="External"/>
  <ns0:Relationship Id="rId11" Type="http://schemas.openxmlformats.org/officeDocument/2006/relationships/hyperlink" Target="https://my.zakupki.prom.ua/remote/dispatcher/state_purchase_lot_view/804794" TargetMode="External"/>
  <ns0:Relationship Id="rId12" Type="http://schemas.openxmlformats.org/officeDocument/2006/relationships/hyperlink" Target="https://my.zakupki.prom.ua/remote/dispatcher/state_contracting_view/15081130" TargetMode="External"/>
  <ns0:Relationship Id="rId13" Type="http://schemas.openxmlformats.org/officeDocument/2006/relationships/hyperlink" Target="https://my.zakupki.prom.ua/remote/dispatcher/state_purchase_view/39105130" TargetMode="External"/>
  <ns0:Relationship Id="rId14" Type="http://schemas.openxmlformats.org/officeDocument/2006/relationships/hyperlink" Target="https://my.zakupki.prom.ua/remote/dispatcher/state_contracting_view/14808425" TargetMode="External"/>
  <ns0:Relationship Id="rId15" Type="http://schemas.openxmlformats.org/officeDocument/2006/relationships/hyperlink" Target="https://my.zakupki.prom.ua/remote/dispatcher/state_purchase_view/39118205" TargetMode="External"/>
  <ns0:Relationship Id="rId16" Type="http://schemas.openxmlformats.org/officeDocument/2006/relationships/hyperlink" Target="https://my.zakupki.prom.ua/remote/dispatcher/state_contracting_view/14814685" TargetMode="External"/>
  <ns0:Relationship Id="rId17" Type="http://schemas.openxmlformats.org/officeDocument/2006/relationships/hyperlink" Target="https://my.zakupki.prom.ua/remote/dispatcher/state_purchase_view/38411488" TargetMode="External"/>
  <ns0:Relationship Id="rId18" Type="http://schemas.openxmlformats.org/officeDocument/2006/relationships/hyperlink" Target="https://my.zakupki.prom.ua/remote/dispatcher/state_contracting_view/14489619" TargetMode="External"/>
  <ns0:Relationship Id="rId19" Type="http://schemas.openxmlformats.org/officeDocument/2006/relationships/hyperlink" Target="https://my.zakupki.prom.ua/remote/dispatcher/state_purchase_view/38378453" TargetMode="External"/>
  <ns0:Relationship Id="rId20" Type="http://schemas.openxmlformats.org/officeDocument/2006/relationships/hyperlink" Target="https://my.zakupki.prom.ua/remote/dispatcher/state_purchase_lot_view/779391" TargetMode="External"/>
  <ns0:Relationship Id="rId21" Type="http://schemas.openxmlformats.org/officeDocument/2006/relationships/hyperlink" Target="https://my.zakupki.prom.ua/remote/dispatcher/state_contracting_view/14625343" TargetMode="External"/>
  <ns0:Relationship Id="rId22" Type="http://schemas.openxmlformats.org/officeDocument/2006/relationships/hyperlink" Target="https://my.zakupki.prom.ua/remote/dispatcher/state_purchase_view/39145004" TargetMode="External"/>
  <ns0:Relationship Id="rId23" Type="http://schemas.openxmlformats.org/officeDocument/2006/relationships/hyperlink" Target="https://my.zakupki.prom.ua/remote/dispatcher/state_contracting_view/14827170" TargetMode="External"/>
  <ns0:Relationship Id="rId24" Type="http://schemas.openxmlformats.org/officeDocument/2006/relationships/hyperlink" Target="https://my.zakupki.prom.ua/remote/dispatcher/state_purchase_view/38301302" TargetMode="External"/>
  <ns0:Relationship Id="rId25" Type="http://schemas.openxmlformats.org/officeDocument/2006/relationships/hyperlink" Target="https://my.zakupki.prom.ua/remote/dispatcher/state_contracting_view/14437815" TargetMode="External"/>
  <ns0:Relationship Id="rId26" Type="http://schemas.openxmlformats.org/officeDocument/2006/relationships/hyperlink" Target="https://my.zakupki.prom.ua/remote/dispatcher/state_purchase_view/35592276" TargetMode="External"/>
  <ns0:Relationship Id="rId27" Type="http://schemas.openxmlformats.org/officeDocument/2006/relationships/hyperlink" Target="https://my.zakupki.prom.ua/remote/dispatcher/state_contracting_view/13092289" TargetMode="External"/>
  <ns0:Relationship Id="rId28" Type="http://schemas.openxmlformats.org/officeDocument/2006/relationships/hyperlink" Target="https://my.zakupki.prom.ua/remote/dispatcher/state_purchase_view/35635626" TargetMode="External"/>
  <ns0:Relationship Id="rId29" Type="http://schemas.openxmlformats.org/officeDocument/2006/relationships/hyperlink" Target="https://my.zakupki.prom.ua/remote/dispatcher/state_contracting_view/13116821" TargetMode="External"/>
  <ns0:Relationship Id="rId30" Type="http://schemas.openxmlformats.org/officeDocument/2006/relationships/hyperlink" Target="https://my.zakupki.prom.ua/remote/dispatcher/state_purchase_view/35790018" TargetMode="External"/>
  <ns0:Relationship Id="rId31" Type="http://schemas.openxmlformats.org/officeDocument/2006/relationships/hyperlink" Target="https://my.zakupki.prom.ua/remote/dispatcher/state_contracting_view/13201132" TargetMode="External"/>
  <ns0:Relationship Id="rId32" Type="http://schemas.openxmlformats.org/officeDocument/2006/relationships/hyperlink" Target="https://my.zakupki.prom.ua/remote/dispatcher/state_purchase_view/34904644" TargetMode="External"/>
  <ns0:Relationship Id="rId33" Type="http://schemas.openxmlformats.org/officeDocument/2006/relationships/hyperlink" Target="https://my.zakupki.prom.ua/remote/dispatcher/state_contracting_view/12952033" TargetMode="External"/>
  <ns0:Relationship Id="rId34" Type="http://schemas.openxmlformats.org/officeDocument/2006/relationships/hyperlink" Target="https://my.zakupki.prom.ua/remote/dispatcher/state_purchase_view/35293132" TargetMode="External"/>
  <ns0:Relationship Id="rId35" Type="http://schemas.openxmlformats.org/officeDocument/2006/relationships/hyperlink" Target="https://my.zakupki.prom.ua/remote/dispatcher/state_contracting_view/12944268" TargetMode="External"/>
  <ns0:Relationship Id="rId36" Type="http://schemas.openxmlformats.org/officeDocument/2006/relationships/hyperlink" Target="https://my.zakupki.prom.ua/remote/dispatcher/state_purchase_view/35300760" TargetMode="External"/>
  <ns0:Relationship Id="rId37" Type="http://schemas.openxmlformats.org/officeDocument/2006/relationships/hyperlink" Target="https://my.zakupki.prom.ua/remote/dispatcher/state_contracting_view/12956036" TargetMode="External"/>
  <ns0:Relationship Id="rId38" Type="http://schemas.openxmlformats.org/officeDocument/2006/relationships/hyperlink" Target="https://my.zakupki.prom.ua/remote/dispatcher/state_purchase_view/35206639" TargetMode="External"/>
  <ns0:Relationship Id="rId39" Type="http://schemas.openxmlformats.org/officeDocument/2006/relationships/hyperlink" Target="https://my.zakupki.prom.ua/remote/dispatcher/state_contracting_view/12903095" TargetMode="External"/>
  <ns0:Relationship Id="rId40" Type="http://schemas.openxmlformats.org/officeDocument/2006/relationships/hyperlink" Target="https://my.zakupki.prom.ua/remote/dispatcher/state_purchase_view/35231496" TargetMode="External"/>
  <ns0:Relationship Id="rId41" Type="http://schemas.openxmlformats.org/officeDocument/2006/relationships/hyperlink" Target="https://my.zakupki.prom.ua/remote/dispatcher/state_contracting_view/12915264" TargetMode="External"/>
  <ns0:Relationship Id="rId42" Type="http://schemas.openxmlformats.org/officeDocument/2006/relationships/hyperlink" Target="https://my.zakupki.prom.ua/remote/dispatcher/state_purchase_view/35104760" TargetMode="External"/>
  <ns0:Relationship Id="rId43" Type="http://schemas.openxmlformats.org/officeDocument/2006/relationships/hyperlink" Target="https://my.zakupki.prom.ua/remote/dispatcher/state_contracting_view/12854275" TargetMode="External"/>
  <ns0:Relationship Id="rId44" Type="http://schemas.openxmlformats.org/officeDocument/2006/relationships/hyperlink" Target="https://my.zakupki.prom.ua/remote/dispatcher/state_purchase_view/34027251" TargetMode="External"/>
  <ns0:Relationship Id="rId45" Type="http://schemas.openxmlformats.org/officeDocument/2006/relationships/hyperlink" Target="https://my.zakupki.prom.ua/remote/dispatcher/state_contracting_view/12374630" TargetMode="External"/>
  <ns0:Relationship Id="rId46" Type="http://schemas.openxmlformats.org/officeDocument/2006/relationships/hyperlink" Target="https://my.zakupki.prom.ua/remote/dispatcher/state_purchase_view/34784471" TargetMode="External"/>
  <ns0:Relationship Id="rId47" Type="http://schemas.openxmlformats.org/officeDocument/2006/relationships/hyperlink" Target="https://my.zakupki.prom.ua/remote/dispatcher/state_contracting_view/12704477" TargetMode="External"/>
  <ns0:Relationship Id="rId48" Type="http://schemas.openxmlformats.org/officeDocument/2006/relationships/hyperlink" Target="https://my.zakupki.prom.ua/remote/dispatcher/state_purchase_view/34533511" TargetMode="External"/>
  <ns0:Relationship Id="rId49" Type="http://schemas.openxmlformats.org/officeDocument/2006/relationships/hyperlink" Target="https://my.zakupki.prom.ua/remote/dispatcher/state_contracting_view/12591103" TargetMode="External"/>
  <ns0:Relationship Id="rId50" Type="http://schemas.openxmlformats.org/officeDocument/2006/relationships/hyperlink" Target="https://my.zakupki.prom.ua/remote/dispatcher/state_purchase_view/34928261" TargetMode="External"/>
  <ns0:Relationship Id="rId51" Type="http://schemas.openxmlformats.org/officeDocument/2006/relationships/hyperlink" Target="https://my.zakupki.prom.ua/remote/dispatcher/state_contracting_view/12771191" TargetMode="External"/>
  <ns0:Relationship Id="rId52" Type="http://schemas.openxmlformats.org/officeDocument/2006/relationships/hyperlink" Target="https://my.zakupki.prom.ua/remote/dispatcher/state_purchase_view/34944511" TargetMode="External"/>
  <ns0:Relationship Id="rId53" Type="http://schemas.openxmlformats.org/officeDocument/2006/relationships/hyperlink" Target="https://my.zakupki.prom.ua/remote/dispatcher/state_contracting_view/12784893" TargetMode="External"/>
  <ns0:Relationship Id="rId54" Type="http://schemas.openxmlformats.org/officeDocument/2006/relationships/hyperlink" Target="https://my.zakupki.prom.ua/remote/dispatcher/state_purchase_view/36326215" TargetMode="External"/>
  <ns0:Relationship Id="rId55" Type="http://schemas.openxmlformats.org/officeDocument/2006/relationships/hyperlink" Target="https://my.zakupki.prom.ua/remote/dispatcher/state_contracting_view/13474429" TargetMode="External"/>
  <ns0:Relationship Id="rId56" Type="http://schemas.openxmlformats.org/officeDocument/2006/relationships/hyperlink" Target="https://my.zakupki.prom.ua/remote/dispatcher/state_purchase_view/36240764" TargetMode="External"/>
  <ns0:Relationship Id="rId57" Type="http://schemas.openxmlformats.org/officeDocument/2006/relationships/hyperlink" Target="https://my.zakupki.prom.ua/remote/dispatcher/state_contracting_view/13431925" TargetMode="External"/>
  <ns0:Relationship Id="rId58" Type="http://schemas.openxmlformats.org/officeDocument/2006/relationships/hyperlink" Target="https://my.zakupki.prom.ua/remote/dispatcher/state_purchase_view/36224391" TargetMode="External"/>
  <ns0:Relationship Id="rId59" Type="http://schemas.openxmlformats.org/officeDocument/2006/relationships/hyperlink" Target="https://my.zakupki.prom.ua/remote/dispatcher/state_contracting_view/13421987" TargetMode="External"/>
  <ns0:Relationship Id="rId60" Type="http://schemas.openxmlformats.org/officeDocument/2006/relationships/hyperlink" Target="https://my.zakupki.prom.ua/remote/dispatcher/state_purchase_view/36171066" TargetMode="External"/>
  <ns0:Relationship Id="rId61" Type="http://schemas.openxmlformats.org/officeDocument/2006/relationships/hyperlink" Target="https://my.zakupki.prom.ua/remote/dispatcher/state_contracting_view/13394142" TargetMode="External"/>
  <ns0:Relationship Id="rId62" Type="http://schemas.openxmlformats.org/officeDocument/2006/relationships/hyperlink" Target="https://my.zakupki.prom.ua/remote/dispatcher/state_purchase_view/36347193" TargetMode="External"/>
  <ns0:Relationship Id="rId63" Type="http://schemas.openxmlformats.org/officeDocument/2006/relationships/hyperlink" Target="https://my.zakupki.prom.ua/remote/dispatcher/state_contracting_view/13484898" TargetMode="External"/>
  <ns0:Relationship Id="rId64" Type="http://schemas.openxmlformats.org/officeDocument/2006/relationships/hyperlink" Target="https://my.zakupki.prom.ua/remote/dispatcher/state_purchase_view/36639134" TargetMode="External"/>
  <ns0:Relationship Id="rId65" Type="http://schemas.openxmlformats.org/officeDocument/2006/relationships/hyperlink" Target="https://my.zakupki.prom.ua/remote/dispatcher/state_contracting_view/13629935" TargetMode="External"/>
  <ns0:Relationship Id="rId66" Type="http://schemas.openxmlformats.org/officeDocument/2006/relationships/hyperlink" Target="https://my.zakupki.prom.ua/remote/dispatcher/state_purchase_view/36673563" TargetMode="External"/>
  <ns0:Relationship Id="rId67" Type="http://schemas.openxmlformats.org/officeDocument/2006/relationships/hyperlink" Target="https://my.zakupki.prom.ua/remote/dispatcher/state_contracting_view/13646144" TargetMode="External"/>
  <ns0:Relationship Id="rId68" Type="http://schemas.openxmlformats.org/officeDocument/2006/relationships/hyperlink" Target="https://my.zakupki.prom.ua/remote/dispatcher/state_purchase_view/36720214" TargetMode="External"/>
  <ns0:Relationship Id="rId69" Type="http://schemas.openxmlformats.org/officeDocument/2006/relationships/hyperlink" Target="https://my.zakupki.prom.ua/remote/dispatcher/state_contracting_view/13667537" TargetMode="External"/>
  <ns0:Relationship Id="rId70" Type="http://schemas.openxmlformats.org/officeDocument/2006/relationships/hyperlink" Target="https://my.zakupki.prom.ua/remote/dispatcher/state_purchase_view/36707215" TargetMode="External"/>
  <ns0:Relationship Id="rId71" Type="http://schemas.openxmlformats.org/officeDocument/2006/relationships/hyperlink" Target="https://my.zakupki.prom.ua/remote/dispatcher/state_contracting_view/13661654" TargetMode="External"/>
  <ns0:Relationship Id="rId72" Type="http://schemas.openxmlformats.org/officeDocument/2006/relationships/hyperlink" Target="https://my.zakupki.prom.ua/remote/dispatcher/state_purchase_view/36823400" TargetMode="External"/>
  <ns0:Relationship Id="rId73" Type="http://schemas.openxmlformats.org/officeDocument/2006/relationships/hyperlink" Target="https://my.zakupki.prom.ua/remote/dispatcher/state_contracting_view/13716000" TargetMode="External"/>
  <ns0:Relationship Id="rId74" Type="http://schemas.openxmlformats.org/officeDocument/2006/relationships/hyperlink" Target="https://my.zakupki.prom.ua/remote/dispatcher/state_purchase_view/36840356" TargetMode="External"/>
  <ns0:Relationship Id="rId75" Type="http://schemas.openxmlformats.org/officeDocument/2006/relationships/hyperlink" Target="https://my.zakupki.prom.ua/remote/dispatcher/state_contracting_view/13723869" TargetMode="External"/>
  <ns0:Relationship Id="rId76" Type="http://schemas.openxmlformats.org/officeDocument/2006/relationships/hyperlink" Target="https://my.zakupki.prom.ua/remote/dispatcher/state_purchase_view/36865991" TargetMode="External"/>
  <ns0:Relationship Id="rId77" Type="http://schemas.openxmlformats.org/officeDocument/2006/relationships/hyperlink" Target="https://my.zakupki.prom.ua/remote/dispatcher/state_contracting_view/13736068" TargetMode="External"/>
  <ns0:Relationship Id="rId78" Type="http://schemas.openxmlformats.org/officeDocument/2006/relationships/hyperlink" Target="https://my.zakupki.prom.ua/remote/dispatcher/state_purchase_view/37410712" TargetMode="External"/>
  <ns0:Relationship Id="rId79" Type="http://schemas.openxmlformats.org/officeDocument/2006/relationships/hyperlink" Target="https://my.zakupki.prom.ua/remote/dispatcher/state_contracting_view/13997801" TargetMode="External"/>
  <ns0:Relationship Id="rId80" Type="http://schemas.openxmlformats.org/officeDocument/2006/relationships/hyperlink" Target="https://my.zakupki.prom.ua/remote/dispatcher/state_purchase_view/37669974" TargetMode="External"/>
  <ns0:Relationship Id="rId81" Type="http://schemas.openxmlformats.org/officeDocument/2006/relationships/hyperlink" Target="https://my.zakupki.prom.ua/remote/dispatcher/state_contracting_view/14124982" TargetMode="External"/>
  <ns0:Relationship Id="rId82" Type="http://schemas.openxmlformats.org/officeDocument/2006/relationships/hyperlink" Target="https://my.zakupki.prom.ua/remote/dispatcher/state_purchase_view/37714524" TargetMode="External"/>
  <ns0:Relationship Id="rId83" Type="http://schemas.openxmlformats.org/officeDocument/2006/relationships/hyperlink" Target="https://my.zakupki.prom.ua/remote/dispatcher/state_contracting_view/14147374" TargetMode="External"/>
  <ns0:Relationship Id="rId84" Type="http://schemas.openxmlformats.org/officeDocument/2006/relationships/hyperlink" Target="https://my.zakupki.prom.ua/remote/dispatcher/state_purchase_view/37050550" TargetMode="External"/>
  <ns0:Relationship Id="rId85" Type="http://schemas.openxmlformats.org/officeDocument/2006/relationships/hyperlink" Target="https://my.zakupki.prom.ua/remote/dispatcher/state_contracting_view/13823556" TargetMode="External"/>
  <ns0:Relationship Id="rId86" Type="http://schemas.openxmlformats.org/officeDocument/2006/relationships/hyperlink" Target="https://my.zakupki.prom.ua/remote/dispatcher/state_purchase_view/37882557" TargetMode="External"/>
  <ns0:Relationship Id="rId87" Type="http://schemas.openxmlformats.org/officeDocument/2006/relationships/hyperlink" Target="https://my.zakupki.prom.ua/remote/dispatcher/state_contracting_view/14229455" TargetMode="External"/>
  <ns0:Relationship Id="rId88" Type="http://schemas.openxmlformats.org/officeDocument/2006/relationships/hyperlink" Target="https://my.zakupki.prom.ua/remote/dispatcher/state_purchase_view/38363242" TargetMode="External"/>
  <ns0:Relationship Id="rId89" Type="http://schemas.openxmlformats.org/officeDocument/2006/relationships/hyperlink" Target="https://my.zakupki.prom.ua/remote/dispatcher/state_contracting_view/14466900" TargetMode="External"/>
  <ns0:Relationship Id="rId90" Type="http://schemas.openxmlformats.org/officeDocument/2006/relationships/hyperlink" Target="https://my.zakupki.prom.ua/remote/dispatcher/state_purchase_view/39677322" TargetMode="External"/>
  <ns0:Relationship Id="rId91" Type="http://schemas.openxmlformats.org/officeDocument/2006/relationships/hyperlink" Target="https://my.zakupki.prom.ua/remote/dispatcher/state_contracting_view/15079488" TargetMode="External"/>
  <ns0:Relationship Id="rId92" Type="http://schemas.openxmlformats.org/officeDocument/2006/relationships/hyperlink" Target="https://my.zakupki.prom.ua/remote/dispatcher/state_purchase_view/39691601" TargetMode="External"/>
  <ns0:Relationship Id="rId93" Type="http://schemas.openxmlformats.org/officeDocument/2006/relationships/hyperlink" Target="https://my.zakupki.prom.ua/remote/dispatcher/state_contracting_view/15086595" TargetMode="External"/>
  <ns0:Relationship Id="rId94" Type="http://schemas.openxmlformats.org/officeDocument/2006/relationships/hyperlink" Target="https://my.zakupki.prom.ua/remote/dispatcher/state_purchase_view/38506429" TargetMode="External"/>
  <ns0:Relationship Id="rId95" Type="http://schemas.openxmlformats.org/officeDocument/2006/relationships/hyperlink" Target="https://my.zakupki.prom.ua/remote/dispatcher/state_contracting_view/14533472" TargetMode="External"/>
  <ns0:Relationship Id="rId96" Type="http://schemas.openxmlformats.org/officeDocument/2006/relationships/hyperlink" Target="https://my.zakupki.prom.ua/remote/dispatcher/state_purchase_view/38560583" TargetMode="External"/>
  <ns0:Relationship Id="rId97" Type="http://schemas.openxmlformats.org/officeDocument/2006/relationships/hyperlink" Target="https://my.zakupki.prom.ua/remote/dispatcher/state_contracting_view/14558425" TargetMode="External"/>
  <ns0:Relationship Id="rId98" Type="http://schemas.openxmlformats.org/officeDocument/2006/relationships/hyperlink" Target="https://my.zakupki.prom.ua/remote/dispatcher/state_purchase_view/39145856" TargetMode="External"/>
  <ns0:Relationship Id="rId99" Type="http://schemas.openxmlformats.org/officeDocument/2006/relationships/hyperlink" Target="https://my.zakupki.prom.ua/remote/dispatcher/state_contracting_view/14828388" TargetMode="External"/>
  <ns0:Relationship Id="rId100" Type="http://schemas.openxmlformats.org/officeDocument/2006/relationships/hyperlink" Target="https://my.zakupki.prom.ua/remote/dispatcher/state_purchase_view/39768884" TargetMode="External"/>
  <ns0:Relationship Id="rId101" Type="http://schemas.openxmlformats.org/officeDocument/2006/relationships/hyperlink" Target="https://my.zakupki.prom.ua/remote/dispatcher/state_contracting_view/15123786" TargetMode="External"/>
  <ns0:Relationship Id="rId102" Type="http://schemas.openxmlformats.org/officeDocument/2006/relationships/hyperlink" Target="https://my.zakupki.prom.ua/remote/dispatcher/state_purchase_view/39791699" TargetMode="External"/>
  <ns0:Relationship Id="rId103" Type="http://schemas.openxmlformats.org/officeDocument/2006/relationships/hyperlink" Target="https://my.zakupki.prom.ua/remote/dispatcher/state_contracting_view/15134958" TargetMode="External"/>
  <ns0:Relationship Id="rId104" Type="http://schemas.openxmlformats.org/officeDocument/2006/relationships/hyperlink" Target="https://my.zakupki.prom.ua/remote/dispatcher/state_purchase_view/38920161" TargetMode="External"/>
  <ns0:Relationship Id="rId105" Type="http://schemas.openxmlformats.org/officeDocument/2006/relationships/hyperlink" Target="https://my.zakupki.prom.ua/remote/dispatcher/state_contracting_view/14724318" TargetMode="External"/>
  <ns0:Relationship Id="rId106" Type="http://schemas.openxmlformats.org/officeDocument/2006/relationships/hyperlink" Target="https://my.zakupki.prom.ua/remote/dispatcher/state_purchase_view/38607520" TargetMode="External"/>
  <ns0:Relationship Id="rId107" Type="http://schemas.openxmlformats.org/officeDocument/2006/relationships/hyperlink" Target="https://my.zakupki.prom.ua/remote/dispatcher/state_purchase_lot_view/788526" TargetMode="External"/>
  <ns0:Relationship Id="rId108" Type="http://schemas.openxmlformats.org/officeDocument/2006/relationships/hyperlink" Target="https://my.zakupki.prom.ua/remote/dispatcher/state_contracting_view/14766210" TargetMode="External"/>
  <ns0:Relationship Id="rId109" Type="http://schemas.openxmlformats.org/officeDocument/2006/relationships/hyperlink" Target="https://my.zakupki.prom.ua/remote/dispatcher/state_purchase_view/39185397" TargetMode="External"/>
  <ns0:Relationship Id="rId110" Type="http://schemas.openxmlformats.org/officeDocument/2006/relationships/hyperlink" Target="https://my.zakupki.prom.ua/remote/dispatcher/state_contracting_view/14845462" TargetMode="External"/>
  <ns0:Relationship Id="rId111" Type="http://schemas.openxmlformats.org/officeDocument/2006/relationships/hyperlink" Target="https://my.zakupki.prom.ua/remote/dispatcher/state_purchase_view/39355742" TargetMode="External"/>
  <ns0:Relationship Id="rId112" Type="http://schemas.openxmlformats.org/officeDocument/2006/relationships/hyperlink" Target="https://my.zakupki.prom.ua/remote/dispatcher/state_contracting_view/14925121" TargetMode="External"/>
  <ns0:Relationship Id="rId113" Type="http://schemas.openxmlformats.org/officeDocument/2006/relationships/hyperlink" Target="https://my.zakupki.prom.ua/remote/dispatcher/state_purchase_view/35948651" TargetMode="External"/>
  <ns0:Relationship Id="rId114" Type="http://schemas.openxmlformats.org/officeDocument/2006/relationships/hyperlink" Target="https://my.zakupki.prom.ua/remote/dispatcher/state_contracting_view/13280066" TargetMode="External"/>
  <ns0:Relationship Id="rId115" Type="http://schemas.openxmlformats.org/officeDocument/2006/relationships/hyperlink" Target="https://my.zakupki.prom.ua/remote/dispatcher/state_purchase_view/36224110" TargetMode="External"/>
  <ns0:Relationship Id="rId116" Type="http://schemas.openxmlformats.org/officeDocument/2006/relationships/hyperlink" Target="https://my.zakupki.prom.ua/remote/dispatcher/state_contracting_view/13421798" TargetMode="External"/>
  <ns0:Relationship Id="rId117" Type="http://schemas.openxmlformats.org/officeDocument/2006/relationships/hyperlink" Target="https://my.zakupki.prom.ua/remote/dispatcher/state_purchase_view/35947107" TargetMode="External"/>
  <ns0:Relationship Id="rId118" Type="http://schemas.openxmlformats.org/officeDocument/2006/relationships/hyperlink" Target="https://my.zakupki.prom.ua/remote/dispatcher/state_contracting_view/13279149" TargetMode="External"/>
  <ns0:Relationship Id="rId119" Type="http://schemas.openxmlformats.org/officeDocument/2006/relationships/hyperlink" Target="https://my.zakupki.prom.ua/remote/dispatcher/state_purchase_view/36124347" TargetMode="External"/>
  <ns0:Relationship Id="rId120" Type="http://schemas.openxmlformats.org/officeDocument/2006/relationships/hyperlink" Target="https://my.zakupki.prom.ua/remote/dispatcher/state_contracting_view/13368563" TargetMode="External"/>
  <ns0:Relationship Id="rId121" Type="http://schemas.openxmlformats.org/officeDocument/2006/relationships/hyperlink" Target="https://my.zakupki.prom.ua/remote/dispatcher/state_purchase_view/35983066" TargetMode="External"/>
  <ns0:Relationship Id="rId122" Type="http://schemas.openxmlformats.org/officeDocument/2006/relationships/hyperlink" Target="https://my.zakupki.prom.ua/remote/dispatcher/state_contracting_view/13298474" TargetMode="External"/>
  <ns0:Relationship Id="rId123" Type="http://schemas.openxmlformats.org/officeDocument/2006/relationships/hyperlink" Target="https://my.zakupki.prom.ua/remote/dispatcher/state_purchase_view/35983325" TargetMode="External"/>
  <ns0:Relationship Id="rId124" Type="http://schemas.openxmlformats.org/officeDocument/2006/relationships/hyperlink" Target="https://my.zakupki.prom.ua/remote/dispatcher/state_contracting_view/13298582" TargetMode="External"/>
  <ns0:Relationship Id="rId125" Type="http://schemas.openxmlformats.org/officeDocument/2006/relationships/hyperlink" Target="https://my.zakupki.prom.ua/remote/dispatcher/state_purchase_view/33236849" TargetMode="External"/>
  <ns0:Relationship Id="rId126" Type="http://schemas.openxmlformats.org/officeDocument/2006/relationships/hyperlink" Target="https://my.zakupki.prom.ua/remote/dispatcher/state_contracting_view/12375015" TargetMode="External"/>
  <ns0:Relationship Id="rId127" Type="http://schemas.openxmlformats.org/officeDocument/2006/relationships/hyperlink" Target="https://my.zakupki.prom.ua/remote/dispatcher/state_purchase_view/36371967" TargetMode="External"/>
  <ns0:Relationship Id="rId128" Type="http://schemas.openxmlformats.org/officeDocument/2006/relationships/hyperlink" Target="https://my.zakupki.prom.ua/remote/dispatcher/state_contracting_view/13497679" TargetMode="External"/>
  <ns0:Relationship Id="rId129" Type="http://schemas.openxmlformats.org/officeDocument/2006/relationships/hyperlink" Target="https://my.zakupki.prom.ua/remote/dispatcher/state_purchase_view/36387160" TargetMode="External"/>
  <ns0:Relationship Id="rId130" Type="http://schemas.openxmlformats.org/officeDocument/2006/relationships/hyperlink" Target="https://my.zakupki.prom.ua/remote/dispatcher/state_contracting_view/13505851" TargetMode="External"/>
  <ns0:Relationship Id="rId131" Type="http://schemas.openxmlformats.org/officeDocument/2006/relationships/hyperlink" Target="https://my.zakupki.prom.ua/remote/dispatcher/state_purchase_view/35623272" TargetMode="External"/>
  <ns0:Relationship Id="rId132" Type="http://schemas.openxmlformats.org/officeDocument/2006/relationships/hyperlink" Target="https://my.zakupki.prom.ua/remote/dispatcher/state_contracting_view/13109437" TargetMode="External"/>
  <ns0:Relationship Id="rId133" Type="http://schemas.openxmlformats.org/officeDocument/2006/relationships/hyperlink" Target="https://my.zakupki.prom.ua/remote/dispatcher/state_purchase_view/35623514" TargetMode="External"/>
  <ns0:Relationship Id="rId134" Type="http://schemas.openxmlformats.org/officeDocument/2006/relationships/hyperlink" Target="https://my.zakupki.prom.ua/remote/dispatcher/state_contracting_view/13110122" TargetMode="External"/>
  <ns0:Relationship Id="rId135" Type="http://schemas.openxmlformats.org/officeDocument/2006/relationships/hyperlink" Target="https://my.zakupki.prom.ua/remote/dispatcher/state_purchase_view/35802953" TargetMode="External"/>
  <ns0:Relationship Id="rId136" Type="http://schemas.openxmlformats.org/officeDocument/2006/relationships/hyperlink" Target="https://my.zakupki.prom.ua/remote/dispatcher/state_contracting_view/13205153" TargetMode="External"/>
  <ns0:Relationship Id="rId137" Type="http://schemas.openxmlformats.org/officeDocument/2006/relationships/hyperlink" Target="https://my.zakupki.prom.ua/remote/dispatcher/state_purchase_view/35711750" TargetMode="External"/>
  <ns0:Relationship Id="rId138" Type="http://schemas.openxmlformats.org/officeDocument/2006/relationships/hyperlink" Target="https://my.zakupki.prom.ua/remote/dispatcher/state_contracting_view/13156979" TargetMode="External"/>
  <ns0:Relationship Id="rId139" Type="http://schemas.openxmlformats.org/officeDocument/2006/relationships/hyperlink" Target="https://my.zakupki.prom.ua/remote/dispatcher/state_purchase_view/35599048" TargetMode="External"/>
  <ns0:Relationship Id="rId140" Type="http://schemas.openxmlformats.org/officeDocument/2006/relationships/hyperlink" Target="https://my.zakupki.prom.ua/remote/dispatcher/state_contracting_view/13095961" TargetMode="External"/>
  <ns0:Relationship Id="rId141" Type="http://schemas.openxmlformats.org/officeDocument/2006/relationships/hyperlink" Target="https://my.zakupki.prom.ua/remote/dispatcher/state_purchase_view/34911604" TargetMode="External"/>
  <ns0:Relationship Id="rId142" Type="http://schemas.openxmlformats.org/officeDocument/2006/relationships/hyperlink" Target="https://my.zakupki.prom.ua/remote/dispatcher/state_contracting_view/12776704" TargetMode="External"/>
  <ns0:Relationship Id="rId143" Type="http://schemas.openxmlformats.org/officeDocument/2006/relationships/hyperlink" Target="https://my.zakupki.prom.ua/remote/dispatcher/state_purchase_view/34974290" TargetMode="External"/>
  <ns0:Relationship Id="rId144" Type="http://schemas.openxmlformats.org/officeDocument/2006/relationships/hyperlink" Target="https://my.zakupki.prom.ua/remote/dispatcher/state_contracting_view/12798235" TargetMode="External"/>
  <ns0:Relationship Id="rId145" Type="http://schemas.openxmlformats.org/officeDocument/2006/relationships/hyperlink" Target="https://my.zakupki.prom.ua/remote/dispatcher/state_purchase_view/35051538" TargetMode="External"/>
  <ns0:Relationship Id="rId146" Type="http://schemas.openxmlformats.org/officeDocument/2006/relationships/hyperlink" Target="https://my.zakupki.prom.ua/remote/dispatcher/state_contracting_view/12840801" TargetMode="External"/>
  <ns0:Relationship Id="rId147" Type="http://schemas.openxmlformats.org/officeDocument/2006/relationships/hyperlink" Target="https://my.zakupki.prom.ua/remote/dispatcher/state_purchase_view/35556082" TargetMode="External"/>
  <ns0:Relationship Id="rId148" Type="http://schemas.openxmlformats.org/officeDocument/2006/relationships/hyperlink" Target="https://my.zakupki.prom.ua/remote/dispatcher/state_contracting_view/13073427" TargetMode="External"/>
  <ns0:Relationship Id="rId149" Type="http://schemas.openxmlformats.org/officeDocument/2006/relationships/hyperlink" Target="https://my.zakupki.prom.ua/remote/dispatcher/state_purchase_view/35556245" TargetMode="External"/>
  <ns0:Relationship Id="rId150" Type="http://schemas.openxmlformats.org/officeDocument/2006/relationships/hyperlink" Target="https://my.zakupki.prom.ua/remote/dispatcher/state_contracting_view/13073416" TargetMode="External"/>
  <ns0:Relationship Id="rId151" Type="http://schemas.openxmlformats.org/officeDocument/2006/relationships/hyperlink" Target="https://my.zakupki.prom.ua/remote/dispatcher/state_purchase_view/34566761" TargetMode="External"/>
  <ns0:Relationship Id="rId152" Type="http://schemas.openxmlformats.org/officeDocument/2006/relationships/hyperlink" Target="https://my.zakupki.prom.ua/remote/dispatcher/state_contracting_view/12603729" TargetMode="External"/>
  <ns0:Relationship Id="rId153" Type="http://schemas.openxmlformats.org/officeDocument/2006/relationships/hyperlink" Target="https://my.zakupki.prom.ua/remote/dispatcher/state_purchase_view/34407613" TargetMode="External"/>
  <ns0:Relationship Id="rId154" Type="http://schemas.openxmlformats.org/officeDocument/2006/relationships/hyperlink" Target="https://my.zakupki.prom.ua/remote/dispatcher/state_contracting_view/12529892" TargetMode="External"/>
  <ns0:Relationship Id="rId155" Type="http://schemas.openxmlformats.org/officeDocument/2006/relationships/hyperlink" Target="https://my.zakupki.prom.ua/remote/dispatcher/state_purchase_view/34374394" TargetMode="External"/>
  <ns0:Relationship Id="rId156" Type="http://schemas.openxmlformats.org/officeDocument/2006/relationships/hyperlink" Target="https://my.zakupki.prom.ua/remote/dispatcher/state_contracting_view/12514743" TargetMode="External"/>
  <ns0:Relationship Id="rId157" Type="http://schemas.openxmlformats.org/officeDocument/2006/relationships/hyperlink" Target="https://my.zakupki.prom.ua/remote/dispatcher/state_purchase_view/34531511" TargetMode="External"/>
  <ns0:Relationship Id="rId158" Type="http://schemas.openxmlformats.org/officeDocument/2006/relationships/hyperlink" Target="https://my.zakupki.prom.ua/remote/dispatcher/state_contracting_view/12604267" TargetMode="External"/>
  <ns0:Relationship Id="rId159" Type="http://schemas.openxmlformats.org/officeDocument/2006/relationships/hyperlink" Target="https://my.zakupki.prom.ua/remote/dispatcher/state_purchase_view/34894355" TargetMode="External"/>
  <ns0:Relationship Id="rId160" Type="http://schemas.openxmlformats.org/officeDocument/2006/relationships/hyperlink" Target="https://my.zakupki.prom.ua/remote/dispatcher/state_contracting_view/12951728" TargetMode="External"/>
  <ns0:Relationship Id="rId161" Type="http://schemas.openxmlformats.org/officeDocument/2006/relationships/hyperlink" Target="https://my.zakupki.prom.ua/remote/dispatcher/state_purchase_view/37953232" TargetMode="External"/>
  <ns0:Relationship Id="rId162" Type="http://schemas.openxmlformats.org/officeDocument/2006/relationships/hyperlink" Target="https://my.zakupki.prom.ua/remote/dispatcher/state_contracting_view/14263867" TargetMode="External"/>
  <ns0:Relationship Id="rId163" Type="http://schemas.openxmlformats.org/officeDocument/2006/relationships/hyperlink" Target="https://my.zakupki.prom.ua/remote/dispatcher/state_purchase_view/39701189" TargetMode="External"/>
  <ns0:Relationship Id="rId164" Type="http://schemas.openxmlformats.org/officeDocument/2006/relationships/hyperlink" Target="https://my.zakupki.prom.ua/remote/dispatcher/state_contracting_view/15091361" TargetMode="External"/>
  <ns0:Relationship Id="rId165" Type="http://schemas.openxmlformats.org/officeDocument/2006/relationships/hyperlink" Target="https://my.zakupki.prom.ua/remote/dispatcher/state_purchase_view/39787119" TargetMode="External"/>
  <ns0:Relationship Id="rId166" Type="http://schemas.openxmlformats.org/officeDocument/2006/relationships/hyperlink" Target="https://my.zakupki.prom.ua/remote/dispatcher/state_contracting_view/15132935" TargetMode="External"/>
  <ns0:Relationship Id="rId167" Type="http://schemas.openxmlformats.org/officeDocument/2006/relationships/hyperlink" Target="https://my.zakupki.prom.ua/remote/dispatcher/state_purchase_view/36749306" TargetMode="External"/>
  <ns0:Relationship Id="rId168" Type="http://schemas.openxmlformats.org/officeDocument/2006/relationships/hyperlink" Target="https://my.zakupki.prom.ua/remote/dispatcher/state_contracting_view/13681164" TargetMode="External"/>
  <ns0:Relationship Id="rId169" Type="http://schemas.openxmlformats.org/officeDocument/2006/relationships/hyperlink" Target="https://my.zakupki.prom.ua/remote/dispatcher/state_purchase_view/36754128" TargetMode="External"/>
  <ns0:Relationship Id="rId170" Type="http://schemas.openxmlformats.org/officeDocument/2006/relationships/hyperlink" Target="https://my.zakupki.prom.ua/remote/dispatcher/state_contracting_view/13683490" TargetMode="External"/>
  <ns0:Relationship Id="rId171" Type="http://schemas.openxmlformats.org/officeDocument/2006/relationships/hyperlink" Target="https://my.zakupki.prom.ua/remote/dispatcher/state_purchase_view/38647996" TargetMode="External"/>
  <ns0:Relationship Id="rId172" Type="http://schemas.openxmlformats.org/officeDocument/2006/relationships/hyperlink" Target="https://my.zakupki.prom.ua/remote/dispatcher/state_contracting_view/14599201" TargetMode="External"/>
  <ns0:Relationship Id="rId173" Type="http://schemas.openxmlformats.org/officeDocument/2006/relationships/hyperlink" Target="https://my.zakupki.prom.ua/remote/dispatcher/state_purchase_view/38497009" TargetMode="External"/>
  <ns0:Relationship Id="rId174" Type="http://schemas.openxmlformats.org/officeDocument/2006/relationships/hyperlink" Target="https://my.zakupki.prom.ua/remote/dispatcher/state_contracting_view/14529246" TargetMode="External"/>
  <ns0:Relationship Id="rId175" Type="http://schemas.openxmlformats.org/officeDocument/2006/relationships/hyperlink" Target="https://my.zakupki.prom.ua/remote/dispatcher/state_purchase_view/38666305" TargetMode="External"/>
  <ns0:Relationship Id="rId176" Type="http://schemas.openxmlformats.org/officeDocument/2006/relationships/hyperlink" Target="https://my.zakupki.prom.ua/remote/dispatcher/state_purchase_lot_view/790954" TargetMode="External"/>
  <ns0:Relationship Id="rId177" Type="http://schemas.openxmlformats.org/officeDocument/2006/relationships/hyperlink" Target="https://my.zakupki.prom.ua/remote/dispatcher/state_contracting_view/14767843" TargetMode="External"/>
  <ns0:Relationship Id="rId178" Type="http://schemas.openxmlformats.org/officeDocument/2006/relationships/hyperlink" Target="https://my.zakupki.prom.ua/remote/dispatcher/state_purchase_view/39077040" TargetMode="External"/>
  <ns0:Relationship Id="rId179" Type="http://schemas.openxmlformats.org/officeDocument/2006/relationships/hyperlink" Target="https://my.zakupki.prom.ua/remote/dispatcher/state_contracting_view/14795909" TargetMode="External"/>
  <ns0:Relationship Id="rId180" Type="http://schemas.openxmlformats.org/officeDocument/2006/relationships/hyperlink" Target="https://my.zakupki.prom.ua/remote/dispatcher/state_purchase_view/39166412" TargetMode="External"/>
  <ns0:Relationship Id="rId181" Type="http://schemas.openxmlformats.org/officeDocument/2006/relationships/hyperlink" Target="https://my.zakupki.prom.ua/remote/dispatcher/state_contracting_view/14836580" TargetMode="External"/>
  <ns0:Relationship Id="rId182" Type="http://schemas.openxmlformats.org/officeDocument/2006/relationships/hyperlink" Target="https://my.zakupki.prom.ua/remote/dispatcher/state_purchase_view/38045192" TargetMode="External"/>
  <ns0:Relationship Id="rId183" Type="http://schemas.openxmlformats.org/officeDocument/2006/relationships/hyperlink" Target="https://my.zakupki.prom.ua/remote/dispatcher/state_contracting_view/14309020" TargetMode="External"/>
  <ns0:Relationship Id="rId184" Type="http://schemas.openxmlformats.org/officeDocument/2006/relationships/hyperlink" Target="https://my.zakupki.prom.ua/remote/dispatcher/state_purchase_view/38139503" TargetMode="External"/>
  <ns0:Relationship Id="rId185" Type="http://schemas.openxmlformats.org/officeDocument/2006/relationships/hyperlink" Target="https://my.zakupki.prom.ua/remote/dispatcher/state_contracting_view/14359251" TargetMode="External"/>
  <ns0:Relationship Id="rId186" Type="http://schemas.openxmlformats.org/officeDocument/2006/relationships/hyperlink" Target="https://my.zakupki.prom.ua/remote/dispatcher/state_purchase_view/38261481" TargetMode="External"/>
  <ns0:Relationship Id="rId187" Type="http://schemas.openxmlformats.org/officeDocument/2006/relationships/hyperlink" Target="https://my.zakupki.prom.ua/remote/dispatcher/state_contracting_view/14418513" TargetMode="External"/>
  <ns0:Relationship Id="rId188" Type="http://schemas.openxmlformats.org/officeDocument/2006/relationships/hyperlink" Target="https://my.zakupki.prom.ua/remote/dispatcher/state_purchase_view/36524455" TargetMode="External"/>
  <ns0:Relationship Id="rId189" Type="http://schemas.openxmlformats.org/officeDocument/2006/relationships/hyperlink" Target="https://my.zakupki.prom.ua/remote/dispatcher/state_contracting_view/13574649" TargetMode="External"/>
  <ns0:Relationship Id="rId190" Type="http://schemas.openxmlformats.org/officeDocument/2006/relationships/hyperlink" Target="https://my.zakupki.prom.ua/remote/dispatcher/state_purchase_view/37564234" TargetMode="External"/>
  <ns0:Relationship Id="rId191" Type="http://schemas.openxmlformats.org/officeDocument/2006/relationships/hyperlink" Target="https://my.zakupki.prom.ua/remote/dispatcher/state_contracting_view/14072583" TargetMode="External"/>
  <ns0:Relationship Id="rId192" Type="http://schemas.openxmlformats.org/officeDocument/2006/relationships/hyperlink" Target="https://my.zakupki.prom.ua/remote/dispatcher/state_purchase_view/37569894" TargetMode="External"/>
  <ns0:Relationship Id="rId193" Type="http://schemas.openxmlformats.org/officeDocument/2006/relationships/hyperlink" Target="https://my.zakupki.prom.ua/remote/dispatcher/state_contracting_view/14077231" TargetMode="External"/>
  <ns0:Relationship Id="rId194" Type="http://schemas.openxmlformats.org/officeDocument/2006/relationships/hyperlink" Target="https://my.zakupki.prom.ua/remote/dispatcher/state_purchase_view/37709594" TargetMode="External"/>
  <ns0:Relationship Id="rId195" Type="http://schemas.openxmlformats.org/officeDocument/2006/relationships/hyperlink" Target="https://my.zakupki.prom.ua/remote/dispatcher/state_contracting_view/14144634" TargetMode="External"/>
  <ns0:Relationship Id="rId196" Type="http://schemas.openxmlformats.org/officeDocument/2006/relationships/hyperlink" Target="https://my.zakupki.prom.ua/remote/dispatcher/state_purchase_view/37750898" TargetMode="External"/>
  <ns0:Relationship Id="rId197" Type="http://schemas.openxmlformats.org/officeDocument/2006/relationships/hyperlink" Target="https://my.zakupki.prom.ua/remote/dispatcher/state_contracting_view/14165268" TargetMode="External"/>
  <ns0:Relationship Id="rId198" Type="http://schemas.openxmlformats.org/officeDocument/2006/relationships/hyperlink" Target="https://my.zakupki.prom.ua/remote/dispatcher/state_purchase_view/37879168" TargetMode="External"/>
  <ns0:Relationship Id="rId199" Type="http://schemas.openxmlformats.org/officeDocument/2006/relationships/hyperlink" Target="https://my.zakupki.prom.ua/remote/dispatcher/state_contracting_view/14227531" TargetMode="External"/>
  <ns0:Relationship Id="rId200" Type="http://schemas.openxmlformats.org/officeDocument/2006/relationships/hyperlink" Target="https://my.zakupki.prom.ua/remote/dispatcher/state_purchase_view/37325602" TargetMode="External"/>
  <ns0:Relationship Id="rId201" Type="http://schemas.openxmlformats.org/officeDocument/2006/relationships/hyperlink" Target="https://my.zakupki.prom.ua/remote/dispatcher/state_contracting_view/13957302" TargetMode="External"/>
  <ns0:Relationship Id="rId202" Type="http://schemas.openxmlformats.org/officeDocument/2006/relationships/hyperlink" Target="https://my.zakupki.prom.ua/remote/dispatcher/state_purchase_view/37709344" TargetMode="External"/>
  <ns0:Relationship Id="rId203" Type="http://schemas.openxmlformats.org/officeDocument/2006/relationships/hyperlink" Target="https://my.zakupki.prom.ua/remote/dispatcher/state_contracting_view/14144582" TargetMode="External"/>
  <ns0:Relationship Id="rId204" Type="http://schemas.openxmlformats.org/officeDocument/2006/relationships/hyperlink" Target="https://my.zakupki.prom.ua/remote/dispatcher/state_purchase_view/36585018" TargetMode="External"/>
  <ns0:Relationship Id="rId205" Type="http://schemas.openxmlformats.org/officeDocument/2006/relationships/hyperlink" Target="https://my.zakupki.prom.ua/remote/dispatcher/state_contracting_view/13604745" TargetMode="External"/>
  <ns0:Relationship Id="rId206" Type="http://schemas.openxmlformats.org/officeDocument/2006/relationships/hyperlink" Target="https://my.zakupki.prom.ua/remote/dispatcher/state_purchase_view/36644203" TargetMode="External"/>
  <ns0:Relationship Id="rId207" Type="http://schemas.openxmlformats.org/officeDocument/2006/relationships/hyperlink" Target="https://my.zakupki.prom.ua/remote/dispatcher/state_contracting_view/13632412" TargetMode="External"/>
  <ns0:Relationship Id="rId208" Type="http://schemas.openxmlformats.org/officeDocument/2006/relationships/hyperlink" Target="https://my.zakupki.prom.ua/remote/dispatcher/state_purchase_view/36688215" TargetMode="External"/>
  <ns0:Relationship Id="rId209" Type="http://schemas.openxmlformats.org/officeDocument/2006/relationships/hyperlink" Target="https://my.zakupki.prom.ua/remote/dispatcher/state_contracting_view/13652865" TargetMode="External"/>
  <ns0:Relationship Id="rId210" Type="http://schemas.openxmlformats.org/officeDocument/2006/relationships/hyperlink" Target="https://my.zakupki.prom.ua/remote/dispatcher/state_purchase_view/36709290" TargetMode="External"/>
  <ns0:Relationship Id="rId211" Type="http://schemas.openxmlformats.org/officeDocument/2006/relationships/hyperlink" Target="https://my.zakupki.prom.ua/remote/dispatcher/state_contracting_view/13662575" TargetMode="External"/>
  <ns0:Relationship Id="rId212" Type="http://schemas.openxmlformats.org/officeDocument/2006/relationships/hyperlink" Target="https://my.zakupki.prom.ua/remote/dispatcher/state_purchase_view/37718138" TargetMode="External"/>
  <ns0:Relationship Id="rId213" Type="http://schemas.openxmlformats.org/officeDocument/2006/relationships/hyperlink" Target="https://my.zakupki.prom.ua/remote/dispatcher/state_contracting_view/14149069" TargetMode="External"/>
  <ns0:Relationship Id="rId214" Type="http://schemas.openxmlformats.org/officeDocument/2006/relationships/hyperlink" Target="https://my.zakupki.prom.ua/remote/dispatcher/state_purchase_view/37719715" TargetMode="External"/>
  <ns0:Relationship Id="rId215" Type="http://schemas.openxmlformats.org/officeDocument/2006/relationships/hyperlink" Target="https://my.zakupki.prom.ua/remote/dispatcher/state_contracting_view/14149840" TargetMode="External"/>
  <ns0:Relationship Id="rId216" Type="http://schemas.openxmlformats.org/officeDocument/2006/relationships/hyperlink" Target="https://my.zakupki.prom.ua/remote/dispatcher/state_purchase_view/34193614" TargetMode="External"/>
  <ns0:Relationship Id="rId217" Type="http://schemas.openxmlformats.org/officeDocument/2006/relationships/hyperlink" Target="https://my.zakupki.prom.ua/remote/dispatcher/state_contracting_view/12437456" TargetMode="External"/>
  <ns0:Relationship Id="rId218" Type="http://schemas.openxmlformats.org/officeDocument/2006/relationships/hyperlink" Target="https://my.zakupki.prom.ua/remote/dispatcher/state_purchase_view/35833942" TargetMode="External"/>
  <ns0:Relationship Id="rId219" Type="http://schemas.openxmlformats.org/officeDocument/2006/relationships/hyperlink" Target="https://my.zakupki.prom.ua/remote/dispatcher/state_contracting_view/13221353" TargetMode="External"/>
  <ns0:Relationship Id="rId220" Type="http://schemas.openxmlformats.org/officeDocument/2006/relationships/hyperlink" Target="https://my.zakupki.prom.ua/remote/dispatcher/state_purchase_view/35079261" TargetMode="External"/>
  <ns0:Relationship Id="rId221" Type="http://schemas.openxmlformats.org/officeDocument/2006/relationships/hyperlink" Target="https://my.zakupki.prom.ua/remote/dispatcher/state_contracting_view/12842091" TargetMode="External"/>
  <ns0:Relationship Id="rId222" Type="http://schemas.openxmlformats.org/officeDocument/2006/relationships/hyperlink" Target="https://my.zakupki.prom.ua/remote/dispatcher/state_purchase_view/35637406" TargetMode="External"/>
  <ns0:Relationship Id="rId223" Type="http://schemas.openxmlformats.org/officeDocument/2006/relationships/hyperlink" Target="https://my.zakupki.prom.ua/remote/dispatcher/state_contracting_view/13117034" TargetMode="External"/>
  <ns0:Relationship Id="rId224" Type="http://schemas.openxmlformats.org/officeDocument/2006/relationships/hyperlink" Target="https://my.zakupki.prom.ua/remote/dispatcher/state_purchase_view/35625869" TargetMode="External"/>
  <ns0:Relationship Id="rId225" Type="http://schemas.openxmlformats.org/officeDocument/2006/relationships/hyperlink" Target="https://my.zakupki.prom.ua/remote/dispatcher/state_contracting_view/13110428" TargetMode="External"/>
  <ns0:Relationship Id="rId226" Type="http://schemas.openxmlformats.org/officeDocument/2006/relationships/hyperlink" Target="https://my.zakupki.prom.ua/remote/dispatcher/state_purchase_view/36071612" TargetMode="External"/>
  <ns0:Relationship Id="rId227" Type="http://schemas.openxmlformats.org/officeDocument/2006/relationships/hyperlink" Target="https://my.zakupki.prom.ua/remote/dispatcher/state_contracting_view/13345159" TargetMode="External"/>
  <ns0:Relationship Id="rId228" Type="http://schemas.openxmlformats.org/officeDocument/2006/relationships/hyperlink" Target="https://my.zakupki.prom.ua/remote/dispatcher/state_purchase_view/34028975" TargetMode="External"/>
  <ns0:Relationship Id="rId229" Type="http://schemas.openxmlformats.org/officeDocument/2006/relationships/hyperlink" Target="https://my.zakupki.prom.ua/remote/dispatcher/state_contracting_view/12374221" TargetMode="External"/>
  <ns0:Relationship Id="rId230" Type="http://schemas.openxmlformats.org/officeDocument/2006/relationships/hyperlink" Target="https://my.zakupki.prom.ua/remote/dispatcher/state_purchase_view/33959263" TargetMode="External"/>
  <ns0:Relationship Id="rId231" Type="http://schemas.openxmlformats.org/officeDocument/2006/relationships/hyperlink" Target="https://my.zakupki.prom.ua/remote/dispatcher/state_contracting_view/12348040" TargetMode="External"/>
  <ns0:Relationship Id="rId232" Type="http://schemas.openxmlformats.org/officeDocument/2006/relationships/hyperlink" Target="https://my.zakupki.prom.ua/remote/dispatcher/state_purchase_view/34810388" TargetMode="External"/>
  <ns0:Relationship Id="rId233" Type="http://schemas.openxmlformats.org/officeDocument/2006/relationships/hyperlink" Target="https://my.zakupki.prom.ua/remote/dispatcher/state_contracting_view/12719557" TargetMode="External"/>
  <ns0:Relationship Id="rId234" Type="http://schemas.openxmlformats.org/officeDocument/2006/relationships/hyperlink" Target="https://my.zakupki.prom.ua/remote/dispatcher/state_purchase_view/34793407" TargetMode="External"/>
  <ns0:Relationship Id="rId235" Type="http://schemas.openxmlformats.org/officeDocument/2006/relationships/hyperlink" Target="https://my.zakupki.prom.ua/remote/dispatcher/state_contracting_view/12718217" TargetMode="External"/>
  <ns0:Relationship Id="rId236" Type="http://schemas.openxmlformats.org/officeDocument/2006/relationships/hyperlink" Target="https://my.zakupki.prom.ua/remote/dispatcher/state_purchase_view/34574359" TargetMode="External"/>
  <ns0:Relationship Id="rId237" Type="http://schemas.openxmlformats.org/officeDocument/2006/relationships/hyperlink" Target="https://my.zakupki.prom.ua/remote/dispatcher/state_contracting_view/12604969" TargetMode="External"/>
  <ns0:Relationship Id="rId238" Type="http://schemas.openxmlformats.org/officeDocument/2006/relationships/hyperlink" Target="https://my.zakupki.prom.ua/remote/dispatcher/state_purchase_view/34781788" TargetMode="External"/>
  <ns0:Relationship Id="rId239" Type="http://schemas.openxmlformats.org/officeDocument/2006/relationships/hyperlink" Target="https://my.zakupki.prom.ua/remote/dispatcher/state_contracting_view/12718536" TargetMode="External"/>
  <ns0:Relationship Id="rId240" Type="http://schemas.openxmlformats.org/officeDocument/2006/relationships/hyperlink" Target="https://my.zakupki.prom.ua/remote/dispatcher/state_purchase_view/34995748" TargetMode="External"/>
  <ns0:Relationship Id="rId241" Type="http://schemas.openxmlformats.org/officeDocument/2006/relationships/hyperlink" Target="https://my.zakupki.prom.ua/remote/dispatcher/state_contracting_view/12816227" TargetMode="External"/>
  <ns0:Relationship Id="rId242" Type="http://schemas.openxmlformats.org/officeDocument/2006/relationships/hyperlink" Target="https://my.zakupki.prom.ua/remote/dispatcher/state_purchase_view/35925690" TargetMode="External"/>
  <ns0:Relationship Id="rId243" Type="http://schemas.openxmlformats.org/officeDocument/2006/relationships/hyperlink" Target="https://my.zakupki.prom.ua/remote/dispatcher/state_contracting_view/13268201" TargetMode="External"/>
  <ns0:Relationship Id="rId244" Type="http://schemas.openxmlformats.org/officeDocument/2006/relationships/hyperlink" Target="https://my.zakupki.prom.ua/remote/dispatcher/state_purchase_view/35527101" TargetMode="External"/>
  <ns0:Relationship Id="rId245" Type="http://schemas.openxmlformats.org/officeDocument/2006/relationships/hyperlink" Target="https://my.zakupki.prom.ua/remote/dispatcher/state_contracting_view/13057716" TargetMode="External"/>
  <ns0:Relationship Id="rId246" Type="http://schemas.openxmlformats.org/officeDocument/2006/relationships/hyperlink" Target="https://my.zakupki.prom.ua/remote/dispatcher/state_purchase_view/35803204" TargetMode="External"/>
  <ns0:Relationship Id="rId247" Type="http://schemas.openxmlformats.org/officeDocument/2006/relationships/hyperlink" Target="https://my.zakupki.prom.ua/remote/dispatcher/state_contracting_view/13205310" TargetMode="External"/>
  <ns0:Relationship Id="rId248" Type="http://schemas.openxmlformats.org/officeDocument/2006/relationships/hyperlink" Target="https://my.zakupki.prom.ua/remote/dispatcher/state_purchase_view/35790205" TargetMode="External"/>
  <ns0:Relationship Id="rId249" Type="http://schemas.openxmlformats.org/officeDocument/2006/relationships/hyperlink" Target="https://my.zakupki.prom.ua/remote/dispatcher/state_contracting_view/13201134" TargetMode="External"/>
  <ns0:Relationship Id="rId250" Type="http://schemas.openxmlformats.org/officeDocument/2006/relationships/hyperlink" Target="https://my.zakupki.prom.ua/remote/dispatcher/state_purchase_view/36191381" TargetMode="External"/>
  <ns0:Relationship Id="rId251" Type="http://schemas.openxmlformats.org/officeDocument/2006/relationships/hyperlink" Target="https://my.zakupki.prom.ua/remote/dispatcher/state_contracting_view/13405076" TargetMode="External"/>
  <ns0:Relationship Id="rId252" Type="http://schemas.openxmlformats.org/officeDocument/2006/relationships/hyperlink" Target="https://my.zakupki.prom.ua/remote/dispatcher/state_purchase_view/36171236" TargetMode="External"/>
  <ns0:Relationship Id="rId253" Type="http://schemas.openxmlformats.org/officeDocument/2006/relationships/hyperlink" Target="https://my.zakupki.prom.ua/remote/dispatcher/state_contracting_view/13394002" TargetMode="External"/>
  <ns0:Relationship Id="rId254" Type="http://schemas.openxmlformats.org/officeDocument/2006/relationships/hyperlink" Target="https://my.zakupki.prom.ua/remote/dispatcher/state_purchase_view/34805557" TargetMode="External"/>
  <ns0:Relationship Id="rId255" Type="http://schemas.openxmlformats.org/officeDocument/2006/relationships/hyperlink" Target="https://my.zakupki.prom.ua/remote/dispatcher/state_contracting_view/13110696" TargetMode="External"/>
  <ns0:Relationship Id="rId256" Type="http://schemas.openxmlformats.org/officeDocument/2006/relationships/hyperlink" Target="https://my.zakupki.prom.ua/remote/dispatcher/state_purchase_view/37355252" TargetMode="External"/>
  <ns0:Relationship Id="rId257" Type="http://schemas.openxmlformats.org/officeDocument/2006/relationships/hyperlink" Target="https://my.zakupki.prom.ua/remote/dispatcher/state_contracting_view/13971222" TargetMode="External"/>
  <ns0:Relationship Id="rId258" Type="http://schemas.openxmlformats.org/officeDocument/2006/relationships/hyperlink" Target="https://my.zakupki.prom.ua/remote/dispatcher/state_purchase_view/37408783" TargetMode="External"/>
  <ns0:Relationship Id="rId259" Type="http://schemas.openxmlformats.org/officeDocument/2006/relationships/hyperlink" Target="https://my.zakupki.prom.ua/remote/dispatcher/state_contracting_view/13996950" TargetMode="External"/>
  <ns0:Relationship Id="rId260" Type="http://schemas.openxmlformats.org/officeDocument/2006/relationships/hyperlink" Target="https://my.zakupki.prom.ua/remote/dispatcher/state_purchase_view/37456653" TargetMode="External"/>
  <ns0:Relationship Id="rId261" Type="http://schemas.openxmlformats.org/officeDocument/2006/relationships/hyperlink" Target="https://my.zakupki.prom.ua/remote/dispatcher/state_contracting_view/14020884" TargetMode="External"/>
  <ns0:Relationship Id="rId262" Type="http://schemas.openxmlformats.org/officeDocument/2006/relationships/hyperlink" Target="https://my.zakupki.prom.ua/remote/dispatcher/state_purchase_view/37708539" TargetMode="External"/>
  <ns0:Relationship Id="rId263" Type="http://schemas.openxmlformats.org/officeDocument/2006/relationships/hyperlink" Target="https://my.zakupki.prom.ua/remote/dispatcher/state_contracting_view/14144124" TargetMode="External"/>
  <ns0:Relationship Id="rId264" Type="http://schemas.openxmlformats.org/officeDocument/2006/relationships/hyperlink" Target="https://my.zakupki.prom.ua/remote/dispatcher/state_purchase_view/39692223" TargetMode="External"/>
  <ns0:Relationship Id="rId265" Type="http://schemas.openxmlformats.org/officeDocument/2006/relationships/hyperlink" Target="https://my.zakupki.prom.ua/remote/dispatcher/state_contracting_view/15086895" TargetMode="External"/>
  <ns0:Relationship Id="rId266" Type="http://schemas.openxmlformats.org/officeDocument/2006/relationships/hyperlink" Target="https://my.zakupki.prom.ua/remote/dispatcher/state_purchase_view/39702036" TargetMode="External"/>
  <ns0:Relationship Id="rId267" Type="http://schemas.openxmlformats.org/officeDocument/2006/relationships/hyperlink" Target="https://my.zakupki.prom.ua/remote/dispatcher/state_contracting_view/15091549" TargetMode="External"/>
  <ns0:Relationship Id="rId268" Type="http://schemas.openxmlformats.org/officeDocument/2006/relationships/hyperlink" Target="https://my.zakupki.prom.ua/remote/dispatcher/state_purchase_view/39775820" TargetMode="External"/>
  <ns0:Relationship Id="rId269" Type="http://schemas.openxmlformats.org/officeDocument/2006/relationships/hyperlink" Target="https://my.zakupki.prom.ua/remote/dispatcher/state_contracting_view/15127789" TargetMode="External"/>
  <ns0:Relationship Id="rId270" Type="http://schemas.openxmlformats.org/officeDocument/2006/relationships/hyperlink" Target="https://my.zakupki.prom.ua/remote/dispatcher/state_purchase_view/37928559" TargetMode="External"/>
  <ns0:Relationship Id="rId271" Type="http://schemas.openxmlformats.org/officeDocument/2006/relationships/hyperlink" Target="https://my.zakupki.prom.ua/remote/dispatcher/state_contracting_view/14252091" TargetMode="External"/>
  <ns0:Relationship Id="rId272" Type="http://schemas.openxmlformats.org/officeDocument/2006/relationships/hyperlink" Target="https://my.zakupki.prom.ua/remote/dispatcher/state_purchase_view/38435332" TargetMode="External"/>
  <ns0:Relationship Id="rId273" Type="http://schemas.openxmlformats.org/officeDocument/2006/relationships/hyperlink" Target="https://my.zakupki.prom.ua/remote/dispatcher/state_contracting_view/14500767" TargetMode="External"/>
  <ns0:Relationship Id="rId274" Type="http://schemas.openxmlformats.org/officeDocument/2006/relationships/hyperlink" Target="https://my.zakupki.prom.ua/remote/dispatcher/state_purchase_view/38505619" TargetMode="External"/>
  <ns0:Relationship Id="rId275" Type="http://schemas.openxmlformats.org/officeDocument/2006/relationships/hyperlink" Target="https://my.zakupki.prom.ua/remote/dispatcher/state_contracting_view/14533206" TargetMode="External"/>
  <ns0:Relationship Id="rId276" Type="http://schemas.openxmlformats.org/officeDocument/2006/relationships/hyperlink" Target="https://my.zakupki.prom.ua/remote/dispatcher/state_purchase_view/38568136" TargetMode="External"/>
  <ns0:Relationship Id="rId277" Type="http://schemas.openxmlformats.org/officeDocument/2006/relationships/hyperlink" Target="https://my.zakupki.prom.ua/remote/dispatcher/state_contracting_view/14561767" TargetMode="External"/>
  <ns0:Relationship Id="rId278" Type="http://schemas.openxmlformats.org/officeDocument/2006/relationships/hyperlink" Target="https://my.zakupki.prom.ua/remote/dispatcher/state_purchase_view/35320697" TargetMode="External"/>
  <ns0:Relationship Id="rId279" Type="http://schemas.openxmlformats.org/officeDocument/2006/relationships/hyperlink" Target="https://my.zakupki.prom.ua/remote/dispatcher/state_contracting_view/12957477" TargetMode="External"/>
  <ns0:Relationship Id="rId280" Type="http://schemas.openxmlformats.org/officeDocument/2006/relationships/hyperlink" Target="https://my.zakupki.prom.ua/remote/dispatcher/state_purchase_view/36753772" TargetMode="External"/>
  <ns0:Relationship Id="rId281" Type="http://schemas.openxmlformats.org/officeDocument/2006/relationships/hyperlink" Target="https://my.zakupki.prom.ua/remote/dispatcher/state_contracting_view/13683416" TargetMode="External"/>
  <ns0:Relationship Id="rId282" Type="http://schemas.openxmlformats.org/officeDocument/2006/relationships/hyperlink" Target="https://my.zakupki.prom.ua/remote/dispatcher/state_purchase_view/36748493" TargetMode="External"/>
  <ns0:Relationship Id="rId283" Type="http://schemas.openxmlformats.org/officeDocument/2006/relationships/hyperlink" Target="https://my.zakupki.prom.ua/remote/dispatcher/state_contracting_view/13680734" TargetMode="External"/>
  <ns0:Relationship Id="rId284" Type="http://schemas.openxmlformats.org/officeDocument/2006/relationships/hyperlink" Target="https://my.zakupki.prom.ua/remote/dispatcher/state_purchase_view/36852249" TargetMode="External"/>
  <ns0:Relationship Id="rId285" Type="http://schemas.openxmlformats.org/officeDocument/2006/relationships/hyperlink" Target="https://my.zakupki.prom.ua/remote/dispatcher/state_contracting_view/13729566" TargetMode="External"/>
  <ns0:Relationship Id="rId286" Type="http://schemas.openxmlformats.org/officeDocument/2006/relationships/hyperlink" Target="https://my.zakupki.prom.ua/remote/dispatcher/state_purchase_view/36731572" TargetMode="External"/>
  <ns0:Relationship Id="rId287" Type="http://schemas.openxmlformats.org/officeDocument/2006/relationships/hyperlink" Target="https://my.zakupki.prom.ua/remote/dispatcher/state_contracting_view/13672705" TargetMode="External"/>
  <ns0:Relationship Id="rId288" Type="http://schemas.openxmlformats.org/officeDocument/2006/relationships/hyperlink" Target="https://my.zakupki.prom.ua/remote/dispatcher/state_purchase_view/36747845" TargetMode="External"/>
  <ns0:Relationship Id="rId289" Type="http://schemas.openxmlformats.org/officeDocument/2006/relationships/hyperlink" Target="https://my.zakupki.prom.ua/remote/dispatcher/state_contracting_view/13680516" TargetMode="External"/>
  <ns0:Relationship Id="rId290" Type="http://schemas.openxmlformats.org/officeDocument/2006/relationships/hyperlink" Target="https://my.zakupki.prom.ua/remote/dispatcher/state_purchase_view/36745167" TargetMode="External"/>
  <ns0:Relationship Id="rId291" Type="http://schemas.openxmlformats.org/officeDocument/2006/relationships/hyperlink" Target="https://my.zakupki.prom.ua/remote/dispatcher/state_contracting_view/13679264" TargetMode="External"/>
  <ns0:Relationship Id="rId292" Type="http://schemas.openxmlformats.org/officeDocument/2006/relationships/hyperlink" Target="https://my.zakupki.prom.ua/remote/dispatcher/state_purchase_view/33518297" TargetMode="External"/>
  <ns0:Relationship Id="rId293" Type="http://schemas.openxmlformats.org/officeDocument/2006/relationships/hyperlink" Target="https://my.zakupki.prom.ua/remote/dispatcher/state_contracting_view/12505782" TargetMode="External"/>
  <ns0:Relationship Id="rId294" Type="http://schemas.openxmlformats.org/officeDocument/2006/relationships/hyperlink" Target="https://my.zakupki.prom.ua/remote/dispatcher/state_purchase_view/33696174" TargetMode="External"/>
  <ns0:Relationship Id="rId295" Type="http://schemas.openxmlformats.org/officeDocument/2006/relationships/hyperlink" Target="https://my.zakupki.prom.ua/remote/dispatcher/state_contracting_view/12501011" TargetMode="External"/>
  <ns0:Relationship Id="rId296" Type="http://schemas.openxmlformats.org/officeDocument/2006/relationships/hyperlink" Target="https://my.zakupki.prom.ua/remote/dispatcher/state_purchase_view/35615994" TargetMode="External"/>
  <ns0:Relationship Id="rId297" Type="http://schemas.openxmlformats.org/officeDocument/2006/relationships/hyperlink" Target="https://my.zakupki.prom.ua/remote/dispatcher/state_contracting_view/13105530" TargetMode="External"/>
  <ns0:Relationship Id="rId298" Type="http://schemas.openxmlformats.org/officeDocument/2006/relationships/hyperlink" Target="https://my.zakupki.prom.ua/remote/dispatcher/state_purchase_view/35619082" TargetMode="External"/>
  <ns0:Relationship Id="rId299" Type="http://schemas.openxmlformats.org/officeDocument/2006/relationships/hyperlink" Target="https://my.zakupki.prom.ua/remote/dispatcher/state_contracting_view/13109360" TargetMode="External"/>
  <ns0:Relationship Id="rId300" Type="http://schemas.openxmlformats.org/officeDocument/2006/relationships/hyperlink" Target="https://my.zakupki.prom.ua/remote/dispatcher/state_purchase_view/35667171" TargetMode="External"/>
  <ns0:Relationship Id="rId301" Type="http://schemas.openxmlformats.org/officeDocument/2006/relationships/hyperlink" Target="https://my.zakupki.prom.ua/remote/dispatcher/state_contracting_view/13133302" TargetMode="External"/>
  <ns0:Relationship Id="rId302" Type="http://schemas.openxmlformats.org/officeDocument/2006/relationships/hyperlink" Target="https://my.zakupki.prom.ua/remote/dispatcher/state_purchase_view/35415054" TargetMode="External"/>
  <ns0:Relationship Id="rId303" Type="http://schemas.openxmlformats.org/officeDocument/2006/relationships/hyperlink" Target="https://my.zakupki.prom.ua/remote/dispatcher/state_contracting_view/13002699" TargetMode="External"/>
  <ns0:Relationship Id="rId304" Type="http://schemas.openxmlformats.org/officeDocument/2006/relationships/hyperlink" Target="https://my.zakupki.prom.ua/remote/dispatcher/state_purchase_view/34930428" TargetMode="External"/>
  <ns0:Relationship Id="rId305" Type="http://schemas.openxmlformats.org/officeDocument/2006/relationships/hyperlink" Target="https://my.zakupki.prom.ua/remote/dispatcher/state_contracting_view/12773347" TargetMode="External"/>
  <ns0:Relationship Id="rId306" Type="http://schemas.openxmlformats.org/officeDocument/2006/relationships/hyperlink" Target="https://my.zakupki.prom.ua/remote/dispatcher/state_purchase_view/34406291" TargetMode="External"/>
  <ns0:Relationship Id="rId307" Type="http://schemas.openxmlformats.org/officeDocument/2006/relationships/hyperlink" Target="https://my.zakupki.prom.ua/remote/dispatcher/state_contracting_view/12530242" TargetMode="External"/>
  <ns0:Relationship Id="rId308" Type="http://schemas.openxmlformats.org/officeDocument/2006/relationships/hyperlink" Target="https://my.zakupki.prom.ua/remote/dispatcher/state_purchase_view/35279931" TargetMode="External"/>
  <ns0:Relationship Id="rId309" Type="http://schemas.openxmlformats.org/officeDocument/2006/relationships/hyperlink" Target="https://my.zakupki.prom.ua/remote/dispatcher/state_contracting_view/12938221" TargetMode="External"/>
  <ns0:Relationship Id="rId310" Type="http://schemas.openxmlformats.org/officeDocument/2006/relationships/hyperlink" Target="https://my.zakupki.prom.ua/remote/dispatcher/state_purchase_view/35298176" TargetMode="External"/>
  <ns0:Relationship Id="rId311" Type="http://schemas.openxmlformats.org/officeDocument/2006/relationships/hyperlink" Target="https://my.zakupki.prom.ua/remote/dispatcher/state_contracting_view/12946578" TargetMode="External"/>
  <ns0:Relationship Id="rId312" Type="http://schemas.openxmlformats.org/officeDocument/2006/relationships/hyperlink" Target="https://my.zakupki.prom.ua/remote/dispatcher/state_purchase_view/39621609" TargetMode="External"/>
  <ns0:Relationship Id="rId313" Type="http://schemas.openxmlformats.org/officeDocument/2006/relationships/hyperlink" Target="https://my.zakupki.prom.ua/remote/dispatcher/state_contracting_view/15052545" TargetMode="External"/>
  <ns0:Relationship Id="rId314" Type="http://schemas.openxmlformats.org/officeDocument/2006/relationships/hyperlink" Target="https://my.zakupki.prom.ua/remote/dispatcher/state_purchase_view/39656415" TargetMode="External"/>
  <ns0:Relationship Id="rId315" Type="http://schemas.openxmlformats.org/officeDocument/2006/relationships/hyperlink" Target="https://my.zakupki.prom.ua/remote/dispatcher/state_contracting_view/15069264" TargetMode="External"/>
  <ns0:Relationship Id="rId316" Type="http://schemas.openxmlformats.org/officeDocument/2006/relationships/hyperlink" Target="https://my.zakupki.prom.ua/remote/dispatcher/state_purchase_view/39755168" TargetMode="External"/>
  <ns0:Relationship Id="rId317" Type="http://schemas.openxmlformats.org/officeDocument/2006/relationships/hyperlink" Target="https://my.zakupki.prom.ua/remote/dispatcher/state_contracting_view/15117090" TargetMode="External"/>
  <ns0:Relationship Id="rId318" Type="http://schemas.openxmlformats.org/officeDocument/2006/relationships/hyperlink" Target="https://my.zakupki.prom.ua/remote/dispatcher/state_purchase_view/39788229" TargetMode="External"/>
  <ns0:Relationship Id="rId319" Type="http://schemas.openxmlformats.org/officeDocument/2006/relationships/hyperlink" Target="https://my.zakupki.prom.ua/remote/dispatcher/state_contracting_view/15133464" TargetMode="External"/>
  <ns0:Relationship Id="rId320" Type="http://schemas.openxmlformats.org/officeDocument/2006/relationships/hyperlink" Target="https://my.zakupki.prom.ua/remote/dispatcher/state_purchase_view/37943598" TargetMode="External"/>
  <ns0:Relationship Id="rId321" Type="http://schemas.openxmlformats.org/officeDocument/2006/relationships/hyperlink" Target="https://my.zakupki.prom.ua/remote/dispatcher/state_contracting_view/14259314" TargetMode="External"/>
  <ns0:Relationship Id="rId322" Type="http://schemas.openxmlformats.org/officeDocument/2006/relationships/hyperlink" Target="https://my.zakupki.prom.ua/remote/dispatcher/state_purchase_view/38023009" TargetMode="External"/>
  <ns0:Relationship Id="rId323" Type="http://schemas.openxmlformats.org/officeDocument/2006/relationships/hyperlink" Target="https://my.zakupki.prom.ua/remote/dispatcher/state_contracting_view/14298126" TargetMode="External"/>
  <ns0:Relationship Id="rId324" Type="http://schemas.openxmlformats.org/officeDocument/2006/relationships/hyperlink" Target="https://my.zakupki.prom.ua/remote/dispatcher/state_purchase_view/38151500" TargetMode="External"/>
  <ns0:Relationship Id="rId325" Type="http://schemas.openxmlformats.org/officeDocument/2006/relationships/hyperlink" Target="https://my.zakupki.prom.ua/remote/dispatcher/state_contracting_view/14366849" TargetMode="External"/>
  <ns0:Relationship Id="rId326" Type="http://schemas.openxmlformats.org/officeDocument/2006/relationships/hyperlink" Target="https://my.zakupki.prom.ua/remote/dispatcher/state_purchase_view/39157344" TargetMode="External"/>
  <ns0:Relationship Id="rId327" Type="http://schemas.openxmlformats.org/officeDocument/2006/relationships/hyperlink" Target="https://my.zakupki.prom.ua/remote/dispatcher/state_contracting_view/14832511" TargetMode="External"/>
  <ns0:Relationship Id="rId328" Type="http://schemas.openxmlformats.org/officeDocument/2006/relationships/hyperlink" Target="https://my.zakupki.prom.ua/remote/dispatcher/state_purchase_view/37420791" TargetMode="External"/>
  <ns0:Relationship Id="rId329" Type="http://schemas.openxmlformats.org/officeDocument/2006/relationships/hyperlink" Target="https://my.zakupki.prom.ua/remote/dispatcher/state_contracting_view/14002721" TargetMode="External"/>
  <ns0:Relationship Id="rId330" Type="http://schemas.openxmlformats.org/officeDocument/2006/relationships/hyperlink" Target="https://my.zakupki.prom.ua/remote/dispatcher/state_purchase_view/37411255" TargetMode="External"/>
  <ns0:Relationship Id="rId331" Type="http://schemas.openxmlformats.org/officeDocument/2006/relationships/hyperlink" Target="https://my.zakupki.prom.ua/remote/dispatcher/state_contracting_view/13998372" TargetMode="External"/>
  <ns0:Relationship Id="rId332" Type="http://schemas.openxmlformats.org/officeDocument/2006/relationships/hyperlink" Target="https://my.zakupki.prom.ua/remote/dispatcher/state_purchase_view/37421111" TargetMode="External"/>
  <ns0:Relationship Id="rId333" Type="http://schemas.openxmlformats.org/officeDocument/2006/relationships/hyperlink" Target="https://my.zakupki.prom.ua/remote/dispatcher/state_contracting_view/14003055" TargetMode="External"/>
  <ns0:Relationship Id="rId334" Type="http://schemas.openxmlformats.org/officeDocument/2006/relationships/hyperlink" Target="https://my.zakupki.prom.ua/remote/dispatcher/state_purchase_view/37561809" TargetMode="External"/>
  <ns0:Relationship Id="rId335" Type="http://schemas.openxmlformats.org/officeDocument/2006/relationships/hyperlink" Target="https://my.zakupki.prom.ua/remote/dispatcher/state_contracting_view/14071420" TargetMode="External"/>
  <ns0:Relationship Id="rId336" Type="http://schemas.openxmlformats.org/officeDocument/2006/relationships/hyperlink" Target="https://my.zakupki.prom.ua/remote/dispatcher/state_purchase_view/37640536" TargetMode="External"/>
  <ns0:Relationship Id="rId337" Type="http://schemas.openxmlformats.org/officeDocument/2006/relationships/hyperlink" Target="https://my.zakupki.prom.ua/remote/dispatcher/state_contracting_view/14110290" TargetMode="External"/>
  <ns0:Relationship Id="rId338" Type="http://schemas.openxmlformats.org/officeDocument/2006/relationships/hyperlink" Target="https://my.zakupki.prom.ua/remote/dispatcher/state_purchase_view/37668140" TargetMode="External"/>
  <ns0:Relationship Id="rId339" Type="http://schemas.openxmlformats.org/officeDocument/2006/relationships/hyperlink" Target="https://my.zakupki.prom.ua/remote/dispatcher/state_contracting_view/14123867" TargetMode="External"/>
  <ns0:Relationship Id="rId340" Type="http://schemas.openxmlformats.org/officeDocument/2006/relationships/hyperlink" Target="https://my.zakupki.prom.ua/remote/dispatcher/state_purchase_view/37715634" TargetMode="External"/>
  <ns0:Relationship Id="rId341" Type="http://schemas.openxmlformats.org/officeDocument/2006/relationships/hyperlink" Target="https://my.zakupki.prom.ua/remote/dispatcher/state_contracting_view/14147901" TargetMode="External"/>
  <ns0:Relationship Id="rId342" Type="http://schemas.openxmlformats.org/officeDocument/2006/relationships/hyperlink" Target="https://my.zakupki.prom.ua/remote/dispatcher/state_purchase_view/36715127" TargetMode="External"/>
  <ns0:Relationship Id="rId343" Type="http://schemas.openxmlformats.org/officeDocument/2006/relationships/hyperlink" Target="https://my.zakupki.prom.ua/remote/dispatcher/state_contracting_view/13665362" TargetMode="External"/>
  <ns0:Relationship Id="rId344" Type="http://schemas.openxmlformats.org/officeDocument/2006/relationships/hyperlink" Target="https://my.zakupki.prom.ua/remote/dispatcher/state_purchase_view/36716240" TargetMode="External"/>
  <ns0:Relationship Id="rId345" Type="http://schemas.openxmlformats.org/officeDocument/2006/relationships/hyperlink" Target="https://my.zakupki.prom.ua/remote/dispatcher/state_contracting_view/13665763" TargetMode="External"/>
  <ns0:Relationship Id="rId346" Type="http://schemas.openxmlformats.org/officeDocument/2006/relationships/hyperlink" Target="https://my.zakupki.prom.ua/remote/dispatcher/state_purchase_view/36707420" TargetMode="External"/>
  <ns0:Relationship Id="rId347" Type="http://schemas.openxmlformats.org/officeDocument/2006/relationships/hyperlink" Target="https://my.zakupki.prom.ua/remote/dispatcher/state_contracting_view/13661850" TargetMode="External"/>
  <ns0:Relationship Id="rId348" Type="http://schemas.openxmlformats.org/officeDocument/2006/relationships/hyperlink" Target="https://my.zakupki.prom.ua/remote/dispatcher/state_purchase_view/36914768" TargetMode="External"/>
  <ns0:Relationship Id="rId349" Type="http://schemas.openxmlformats.org/officeDocument/2006/relationships/hyperlink" Target="https://my.zakupki.prom.ua/remote/dispatcher/state_contracting_view/13759258" TargetMode="External"/>
  <ns0:Relationship Id="rId350" Type="http://schemas.openxmlformats.org/officeDocument/2006/relationships/hyperlink" Target="https://my.zakupki.prom.ua/remote/dispatcher/state_purchase_view/37025047" TargetMode="External"/>
  <ns0:Relationship Id="rId351" Type="http://schemas.openxmlformats.org/officeDocument/2006/relationships/hyperlink" Target="https://my.zakupki.prom.ua/remote/dispatcher/state_contracting_view/13811214" TargetMode="External"/>
  <ns0:Relationship Id="rId352" Type="http://schemas.openxmlformats.org/officeDocument/2006/relationships/hyperlink" Target="https://my.zakupki.prom.ua/remote/dispatcher/state_purchase_view/37064878" TargetMode="External"/>
  <ns0:Relationship Id="rId353" Type="http://schemas.openxmlformats.org/officeDocument/2006/relationships/hyperlink" Target="https://my.zakupki.prom.ua/remote/dispatcher/state_contracting_view/13830589" TargetMode="External"/>
  <ns0:Relationship Id="rId354" Type="http://schemas.openxmlformats.org/officeDocument/2006/relationships/hyperlink" Target="https://my.zakupki.prom.ua/remote/dispatcher/state_purchase_view/32791117" TargetMode="External"/>
  <ns0:Relationship Id="rId355" Type="http://schemas.openxmlformats.org/officeDocument/2006/relationships/hyperlink" Target="https://my.zakupki.prom.ua/remote/dispatcher/state_contracting_view/12436009" TargetMode="External"/>
  <ns0:Relationship Id="rId356" Type="http://schemas.openxmlformats.org/officeDocument/2006/relationships/hyperlink" Target="https://my.zakupki.prom.ua/remote/dispatcher/state_purchase_view/35301216" TargetMode="External"/>
  <ns0:Relationship Id="rId357" Type="http://schemas.openxmlformats.org/officeDocument/2006/relationships/hyperlink" Target="https://my.zakupki.prom.ua/remote/dispatcher/state_contracting_view/12956265" TargetMode="External"/>
  <ns0:Relationship Id="rId358" Type="http://schemas.openxmlformats.org/officeDocument/2006/relationships/hyperlink" Target="https://my.zakupki.prom.ua/remote/dispatcher/state_purchase_view/35546306" TargetMode="External"/>
  <ns0:Relationship Id="rId359" Type="http://schemas.openxmlformats.org/officeDocument/2006/relationships/hyperlink" Target="https://my.zakupki.prom.ua/remote/dispatcher/state_contracting_view/13067991" TargetMode="External"/>
  <ns0:Relationship Id="rId360" Type="http://schemas.openxmlformats.org/officeDocument/2006/relationships/hyperlink" Target="https://my.zakupki.prom.ua/remote/dispatcher/state_purchase_view/34806023" TargetMode="External"/>
  <ns0:Relationship Id="rId361" Type="http://schemas.openxmlformats.org/officeDocument/2006/relationships/hyperlink" Target="https://my.zakupki.prom.ua/remote/dispatcher/state_contracting_view/13110788" TargetMode="External"/>
  <ns0:Relationship Id="rId362" Type="http://schemas.openxmlformats.org/officeDocument/2006/relationships/hyperlink" Target="https://my.zakupki.prom.ua/remote/dispatcher/state_purchase_view/35704615" TargetMode="External"/>
  <ns0:Relationship Id="rId363" Type="http://schemas.openxmlformats.org/officeDocument/2006/relationships/hyperlink" Target="https://my.zakupki.prom.ua/remote/dispatcher/state_contracting_view/13153654" TargetMode="External"/>
  <ns0:Relationship Id="rId364" Type="http://schemas.openxmlformats.org/officeDocument/2006/relationships/hyperlink" Target="https://my.zakupki.prom.ua/remote/dispatcher/state_purchase_view/35615758" TargetMode="External"/>
  <ns0:Relationship Id="rId365" Type="http://schemas.openxmlformats.org/officeDocument/2006/relationships/hyperlink" Target="https://my.zakupki.prom.ua/remote/dispatcher/state_contracting_view/13105353" TargetMode="External"/>
  <ns0:Relationship Id="rId366" Type="http://schemas.openxmlformats.org/officeDocument/2006/relationships/hyperlink" Target="https://my.zakupki.prom.ua/remote/dispatcher/state_purchase_view/35733186" TargetMode="External"/>
  <ns0:Relationship Id="rId367" Type="http://schemas.openxmlformats.org/officeDocument/2006/relationships/hyperlink" Target="https://my.zakupki.prom.ua/remote/dispatcher/state_contracting_view/13168211" TargetMode="External"/>
  <ns0:Relationship Id="rId368" Type="http://schemas.openxmlformats.org/officeDocument/2006/relationships/hyperlink" Target="https://my.zakupki.prom.ua/remote/dispatcher/state_purchase_view/35220323" TargetMode="External"/>
  <ns0:Relationship Id="rId369" Type="http://schemas.openxmlformats.org/officeDocument/2006/relationships/hyperlink" Target="https://my.zakupki.prom.ua/remote/dispatcher/state_contracting_view/12914834" TargetMode="External"/>
  <ns0:Relationship Id="rId370" Type="http://schemas.openxmlformats.org/officeDocument/2006/relationships/hyperlink" Target="https://my.zakupki.prom.ua/remote/dispatcher/state_purchase_view/35225717" TargetMode="External"/>
  <ns0:Relationship Id="rId371" Type="http://schemas.openxmlformats.org/officeDocument/2006/relationships/hyperlink" Target="https://my.zakupki.prom.ua/remote/dispatcher/state_contracting_view/12914718" TargetMode="External"/>
  <ns0:Relationship Id="rId372" Type="http://schemas.openxmlformats.org/officeDocument/2006/relationships/hyperlink" Target="https://my.zakupki.prom.ua/remote/dispatcher/state_purchase_view/35251380" TargetMode="External"/>
  <ns0:Relationship Id="rId373" Type="http://schemas.openxmlformats.org/officeDocument/2006/relationships/hyperlink" Target="https://my.zakupki.prom.ua/remote/dispatcher/state_contracting_view/12924614" TargetMode="External"/>
  <ns0:Relationship Id="rId374" Type="http://schemas.openxmlformats.org/officeDocument/2006/relationships/hyperlink" Target="https://my.zakupki.prom.ua/remote/dispatcher/state_purchase_view/35923351" TargetMode="External"/>
  <ns0:Relationship Id="rId375" Type="http://schemas.openxmlformats.org/officeDocument/2006/relationships/hyperlink" Target="https://my.zakupki.prom.ua/remote/dispatcher/state_contracting_view/13378624" TargetMode="External"/>
  <ns0:Relationship Id="rId376" Type="http://schemas.openxmlformats.org/officeDocument/2006/relationships/hyperlink" Target="https://my.zakupki.prom.ua/remote/dispatcher/state_purchase_view/36070776" TargetMode="External"/>
  <ns0:Relationship Id="rId377" Type="http://schemas.openxmlformats.org/officeDocument/2006/relationships/hyperlink" Target="https://my.zakupki.prom.ua/remote/dispatcher/state_contracting_view/13343638" TargetMode="External"/>
  <ns0:Relationship Id="rId378" Type="http://schemas.openxmlformats.org/officeDocument/2006/relationships/hyperlink" Target="https://my.zakupki.prom.ua/remote/dispatcher/state_purchase_view/34279880" TargetMode="External"/>
  <ns0:Relationship Id="rId379" Type="http://schemas.openxmlformats.org/officeDocument/2006/relationships/hyperlink" Target="https://my.zakupki.prom.ua/remote/dispatcher/state_contracting_view/12474278" TargetMode="External"/>
  <ns0:Relationship Id="rId380" Type="http://schemas.openxmlformats.org/officeDocument/2006/relationships/hyperlink" Target="https://my.zakupki.prom.ua/remote/dispatcher/state_purchase_view/34242974" TargetMode="External"/>
  <ns0:Relationship Id="rId381" Type="http://schemas.openxmlformats.org/officeDocument/2006/relationships/hyperlink" Target="https://my.zakupki.prom.ua/remote/dispatcher/state_contracting_view/12459173" TargetMode="External"/>
  <ns0:Relationship Id="rId382" Type="http://schemas.openxmlformats.org/officeDocument/2006/relationships/hyperlink" Target="https://my.zakupki.prom.ua/remote/dispatcher/state_purchase_view/34263092" TargetMode="External"/>
  <ns0:Relationship Id="rId383" Type="http://schemas.openxmlformats.org/officeDocument/2006/relationships/hyperlink" Target="https://my.zakupki.prom.ua/remote/dispatcher/state_contracting_view/12467406" TargetMode="External"/>
  <ns0:Relationship Id="rId384" Type="http://schemas.openxmlformats.org/officeDocument/2006/relationships/hyperlink" Target="https://my.zakupki.prom.ua/remote/dispatcher/state_purchase_view/34975968" TargetMode="External"/>
  <ns0:Relationship Id="rId385" Type="http://schemas.openxmlformats.org/officeDocument/2006/relationships/hyperlink" Target="https://my.zakupki.prom.ua/remote/dispatcher/state_contracting_view/12798528" TargetMode="External"/>
  <ns0:Relationship Id="rId386" Type="http://schemas.openxmlformats.org/officeDocument/2006/relationships/hyperlink" Target="https://my.zakupki.prom.ua/remote/dispatcher/state_purchase_view/34888817" TargetMode="External"/>
  <ns0:Relationship Id="rId387" Type="http://schemas.openxmlformats.org/officeDocument/2006/relationships/hyperlink" Target="https://my.zakupki.prom.ua/remote/dispatcher/state_contracting_view/12752970" TargetMode="External"/>
  <ns0:Relationship Id="rId388" Type="http://schemas.openxmlformats.org/officeDocument/2006/relationships/hyperlink" Target="https://my.zakupki.prom.ua/remote/dispatcher/state_purchase_view/35144075" TargetMode="External"/>
  <ns0:Relationship Id="rId389" Type="http://schemas.openxmlformats.org/officeDocument/2006/relationships/hyperlink" Target="https://my.zakupki.prom.ua/remote/dispatcher/state_contracting_view/12877627" TargetMode="External"/>
  <ns0:Relationship Id="rId390" Type="http://schemas.openxmlformats.org/officeDocument/2006/relationships/hyperlink" Target="https://my.zakupki.prom.ua/remote/dispatcher/state_purchase_view/35835032" TargetMode="External"/>
  <ns0:Relationship Id="rId391" Type="http://schemas.openxmlformats.org/officeDocument/2006/relationships/hyperlink" Target="https://my.zakupki.prom.ua/remote/dispatcher/state_contracting_view/13223166" TargetMode="External"/>
  <ns0:Relationship Id="rId392" Type="http://schemas.openxmlformats.org/officeDocument/2006/relationships/hyperlink" Target="https://my.zakupki.prom.ua/remote/dispatcher/state_purchase_view/35800343" TargetMode="External"/>
  <ns0:Relationship Id="rId393" Type="http://schemas.openxmlformats.org/officeDocument/2006/relationships/hyperlink" Target="https://my.zakupki.prom.ua/remote/dispatcher/state_contracting_view/13204282" TargetMode="External"/>
  <ns0:Relationship Id="rId394" Type="http://schemas.openxmlformats.org/officeDocument/2006/relationships/hyperlink" Target="https://my.zakupki.prom.ua/remote/dispatcher/state_purchase_view/34569532" TargetMode="External"/>
  <ns0:Relationship Id="rId395" Type="http://schemas.openxmlformats.org/officeDocument/2006/relationships/hyperlink" Target="https://my.zakupki.prom.ua/remote/dispatcher/state_contracting_view/12602779" TargetMode="External"/>
  <ns0:Relationship Id="rId396" Type="http://schemas.openxmlformats.org/officeDocument/2006/relationships/hyperlink" Target="https://my.zakupki.prom.ua/remote/dispatcher/state_purchase_view/34356298" TargetMode="External"/>
  <ns0:Relationship Id="rId397" Type="http://schemas.openxmlformats.org/officeDocument/2006/relationships/hyperlink" Target="https://my.zakupki.prom.ua/remote/dispatcher/state_contracting_view/12506817" TargetMode="External"/>
  <ns0:Relationship Id="rId398" Type="http://schemas.openxmlformats.org/officeDocument/2006/relationships/hyperlink" Target="https://my.zakupki.prom.ua/remote/dispatcher/state_purchase_view/35948898" TargetMode="External"/>
  <ns0:Relationship Id="rId399" Type="http://schemas.openxmlformats.org/officeDocument/2006/relationships/hyperlink" Target="https://my.zakupki.prom.ua/remote/dispatcher/state_contracting_view/13280237" TargetMode="External"/>
  <ns0:Relationship Id="rId400" Type="http://schemas.openxmlformats.org/officeDocument/2006/relationships/hyperlink" Target="https://my.zakupki.prom.ua/remote/dispatcher/state_purchase_view/38856955" TargetMode="External"/>
  <ns0:Relationship Id="rId401" Type="http://schemas.openxmlformats.org/officeDocument/2006/relationships/hyperlink" Target="https://my.zakupki.prom.ua/remote/dispatcher/state_contracting_view/14695306" TargetMode="External"/>
  <ns0:Relationship Id="rId402" Type="http://schemas.openxmlformats.org/officeDocument/2006/relationships/hyperlink" Target="https://my.zakupki.prom.ua/remote/dispatcher/state_purchase_view/38836718" TargetMode="External"/>
  <ns0:Relationship Id="rId403" Type="http://schemas.openxmlformats.org/officeDocument/2006/relationships/hyperlink" Target="https://my.zakupki.prom.ua/remote/dispatcher/state_contracting_view/14686824" TargetMode="External"/>
  <ns0:Relationship Id="rId404" Type="http://schemas.openxmlformats.org/officeDocument/2006/relationships/hyperlink" Target="https://my.zakupki.prom.ua/remote/dispatcher/state_purchase_view/38380329" TargetMode="External"/>
  <ns0:Relationship Id="rId405" Type="http://schemas.openxmlformats.org/officeDocument/2006/relationships/hyperlink" Target="https://my.zakupki.prom.ua/remote/dispatcher/state_purchase_lot_view/779451" TargetMode="External"/>
  <ns0:Relationship Id="rId406" Type="http://schemas.openxmlformats.org/officeDocument/2006/relationships/hyperlink" Target="https://my.zakupki.prom.ua/remote/dispatcher/state_contracting_view/14629029" TargetMode="External"/>
  <ns0:Relationship Id="rId407" Type="http://schemas.openxmlformats.org/officeDocument/2006/relationships/hyperlink" Target="https://my.zakupki.prom.ua/remote/dispatcher/state_purchase_view/38779019" TargetMode="External"/>
  <ns0:Relationship Id="rId408" Type="http://schemas.openxmlformats.org/officeDocument/2006/relationships/hyperlink" Target="https://my.zakupki.prom.ua/remote/dispatcher/state_contracting_view/14659555" TargetMode="External"/>
  <ns0:Relationship Id="rId409" Type="http://schemas.openxmlformats.org/officeDocument/2006/relationships/hyperlink" Target="https://my.zakupki.prom.ua/remote/dispatcher/state_purchase_view/38152070" TargetMode="External"/>
  <ns0:Relationship Id="rId410" Type="http://schemas.openxmlformats.org/officeDocument/2006/relationships/hyperlink" Target="https://my.zakupki.prom.ua/remote/dispatcher/state_contracting_view/14367168" TargetMode="External"/>
  <ns0:Relationship Id="rId411" Type="http://schemas.openxmlformats.org/officeDocument/2006/relationships/hyperlink" Target="https://my.zakupki.prom.ua/remote/dispatcher/state_purchase_view/37691861" TargetMode="External"/>
  <ns0:Relationship Id="rId412" Type="http://schemas.openxmlformats.org/officeDocument/2006/relationships/hyperlink" Target="https://my.zakupki.prom.ua/remote/dispatcher/state_contracting_view/14358091" TargetMode="External"/>
  <ns0:Relationship Id="rId413" Type="http://schemas.openxmlformats.org/officeDocument/2006/relationships/hyperlink" Target="https://my.zakupki.prom.ua/remote/dispatcher/state_purchase_view/38150267" TargetMode="External"/>
  <ns0:Relationship Id="rId414" Type="http://schemas.openxmlformats.org/officeDocument/2006/relationships/hyperlink" Target="https://my.zakupki.prom.ua/remote/dispatcher/state_contracting_view/14366412" TargetMode="External"/>
  <ns0:Relationship Id="rId415" Type="http://schemas.openxmlformats.org/officeDocument/2006/relationships/hyperlink" Target="https://my.zakupki.prom.ua/remote/dispatcher/state_purchase_view/36714876" TargetMode="External"/>
  <ns0:Relationship Id="rId416" Type="http://schemas.openxmlformats.org/officeDocument/2006/relationships/hyperlink" Target="https://my.zakupki.prom.ua/remote/dispatcher/state_contracting_view/13665307" TargetMode="External"/>
  <ns0:Relationship Id="rId417" Type="http://schemas.openxmlformats.org/officeDocument/2006/relationships/hyperlink" Target="https://my.zakupki.prom.ua/remote/dispatcher/state_purchase_view/36756190" TargetMode="External"/>
  <ns0:Relationship Id="rId418" Type="http://schemas.openxmlformats.org/officeDocument/2006/relationships/hyperlink" Target="https://my.zakupki.prom.ua/remote/dispatcher/state_contracting_view/13684481" TargetMode="External"/>
  <ns0:Relationship Id="rId419" Type="http://schemas.openxmlformats.org/officeDocument/2006/relationships/hyperlink" Target="https://my.zakupki.prom.ua/remote/dispatcher/state_purchase_view/36914990" TargetMode="External"/>
  <ns0:Relationship Id="rId420" Type="http://schemas.openxmlformats.org/officeDocument/2006/relationships/hyperlink" Target="https://my.zakupki.prom.ua/remote/dispatcher/state_contracting_view/13759356" TargetMode="External"/>
  <ns0:Relationship Id="rId421" Type="http://schemas.openxmlformats.org/officeDocument/2006/relationships/hyperlink" Target="https://my.zakupki.prom.ua/remote/dispatcher/state_purchase_view/37325782" TargetMode="External"/>
  <ns0:Relationship Id="rId422" Type="http://schemas.openxmlformats.org/officeDocument/2006/relationships/hyperlink" Target="https://my.zakupki.prom.ua/remote/dispatcher/state_contracting_view/13957274" TargetMode="External"/>
  <ns0:Relationship Id="rId423" Type="http://schemas.openxmlformats.org/officeDocument/2006/relationships/hyperlink" Target="https://my.zakupki.prom.ua/remote/dispatcher/state_purchase_view/37398680" TargetMode="External"/>
  <ns0:Relationship Id="rId424" Type="http://schemas.openxmlformats.org/officeDocument/2006/relationships/hyperlink" Target="https://my.zakupki.prom.ua/remote/dispatcher/state_contracting_view/13992351" TargetMode="External"/>
  <ns0:Relationship Id="rId425" Type="http://schemas.openxmlformats.org/officeDocument/2006/relationships/hyperlink" Target="https://my.zakupki.prom.ua/remote/dispatcher/state_purchase_view/37751261" TargetMode="External"/>
  <ns0:Relationship Id="rId426" Type="http://schemas.openxmlformats.org/officeDocument/2006/relationships/hyperlink" Target="https://my.zakupki.prom.ua/remote/dispatcher/state_contracting_view/14165499" TargetMode="External"/>
  <ns0:Relationship Id="rId427" Type="http://schemas.openxmlformats.org/officeDocument/2006/relationships/hyperlink" Target="https://my.zakupki.prom.ua/remote/dispatcher/state_purchase_view/37751415" TargetMode="External"/>
  <ns0:Relationship Id="rId428" Type="http://schemas.openxmlformats.org/officeDocument/2006/relationships/hyperlink" Target="https://my.zakupki.prom.ua/remote/dispatcher/state_contracting_view/14165451" TargetMode="External"/>
  <ns0:Relationship Id="rId429" Type="http://schemas.openxmlformats.org/officeDocument/2006/relationships/hyperlink" Target="https://my.zakupki.prom.ua/remote/dispatcher/state_purchase_view/37859595" TargetMode="External"/>
  <ns0:Relationship Id="rId430" Type="http://schemas.openxmlformats.org/officeDocument/2006/relationships/hyperlink" Target="https://my.zakupki.prom.ua/remote/dispatcher/state_contracting_view/14218830" TargetMode="External"/>
  <ns0:Relationship Id="rId431" Type="http://schemas.openxmlformats.org/officeDocument/2006/relationships/hyperlink" Target="https://my.zakupki.prom.ua/remote/dispatcher/state_purchase_view/37859897" TargetMode="External"/>
  <ns0:Relationship Id="rId432" Type="http://schemas.openxmlformats.org/officeDocument/2006/relationships/hyperlink" Target="https://my.zakupki.prom.ua/remote/dispatcher/state_contracting_view/14219338" TargetMode="External"/>
  <ns0:Relationship Id="rId433" Type="http://schemas.openxmlformats.org/officeDocument/2006/relationships/hyperlink" Target="https://my.zakupki.prom.ua/remote/dispatcher/state_purchase_view/39743002" TargetMode="External"/>
  <ns0:Relationship Id="rId434" Type="http://schemas.openxmlformats.org/officeDocument/2006/relationships/hyperlink" Target="https://my.zakupki.prom.ua/remote/dispatcher/state_contracting_view/15110892" TargetMode="External"/>
  <ns0:Relationship Id="rId435" Type="http://schemas.openxmlformats.org/officeDocument/2006/relationships/hyperlink" Target="https://my.zakupki.prom.ua/remote/dispatcher/state_purchase_view/39778800" TargetMode="External"/>
  <ns0:Relationship Id="rId436" Type="http://schemas.openxmlformats.org/officeDocument/2006/relationships/hyperlink" Target="https://my.zakupki.prom.ua/remote/dispatcher/state_contracting_view/15129002" TargetMode="External"/>
  <ns0:Relationship Id="rId437" Type="http://schemas.openxmlformats.org/officeDocument/2006/relationships/hyperlink" Target="https://my.zakupki.prom.ua/remote/dispatcher/state_purchase_view/39693520" TargetMode="External"/>
  <ns0:Relationship Id="rId438" Type="http://schemas.openxmlformats.org/officeDocument/2006/relationships/hyperlink" Target="https://my.zakupki.prom.ua/remote/dispatcher/state_contracting_view/15087482" TargetMode="External"/>
  <ns0:Relationship Id="rId439" Type="http://schemas.openxmlformats.org/officeDocument/2006/relationships/hyperlink" Target="https://my.zakupki.prom.ua/remote/dispatcher/state_purchase_view/39165620" TargetMode="External"/>
  <ns0:Relationship Id="rId440" Type="http://schemas.openxmlformats.org/officeDocument/2006/relationships/hyperlink" Target="https://my.zakupki.prom.ua/remote/dispatcher/state_contracting_view/14836194" TargetMode="External"/>
  <ns0:Relationship Id="rId441" Type="http://schemas.openxmlformats.org/officeDocument/2006/relationships/hyperlink" Target="https://my.zakupki.prom.ua/remote/dispatcher/state_purchase_view/39167681" TargetMode="External"/>
  <ns0:Relationship Id="rId442" Type="http://schemas.openxmlformats.org/officeDocument/2006/relationships/hyperlink" Target="https://my.zakupki.prom.ua/remote/dispatcher/state_contracting_view/14837526" TargetMode="External"/>
  <ns0:Relationship Id="rId443" Type="http://schemas.openxmlformats.org/officeDocument/2006/relationships/hyperlink" Target="https://my.zakupki.prom.ua/remote/dispatcher/state_purchase_view/38658158" TargetMode="External"/>
  <ns0:Relationship Id="rId444" Type="http://schemas.openxmlformats.org/officeDocument/2006/relationships/hyperlink" Target="https://my.zakupki.prom.ua/remote/dispatcher/state_purchase_lot_view/790623" TargetMode="External"/>
  <ns0:Relationship Id="rId445" Type="http://schemas.openxmlformats.org/officeDocument/2006/relationships/hyperlink" Target="https://my.zakupki.prom.ua/remote/dispatcher/state_contracting_view/14769361" TargetMode="External"/>
  <ns0:Relationship Id="rId446" Type="http://schemas.openxmlformats.org/officeDocument/2006/relationships/hyperlink" Target="https://my.zakupki.prom.ua/remote/dispatcher/state_purchase_view/39101604" TargetMode="External"/>
  <ns0:Relationship Id="rId447" Type="http://schemas.openxmlformats.org/officeDocument/2006/relationships/hyperlink" Target="https://my.zakupki.prom.ua/remote/dispatcher/state_contracting_view/14806928" TargetMode="External"/>
  <ns0:Relationship Id="rId448" Type="http://schemas.openxmlformats.org/officeDocument/2006/relationships/hyperlink" Target="https://my.zakupki.prom.ua/remote/dispatcher/state_purchase_view/39474636" TargetMode="External"/>
  <ns0:Relationship Id="rId449" Type="http://schemas.openxmlformats.org/officeDocument/2006/relationships/hyperlink" Target="https://my.zakupki.prom.ua/remote/dispatcher/state_contracting_view/14981218" TargetMode="External"/>
  <ns0:Relationship Id="rId450" Type="http://schemas.openxmlformats.org/officeDocument/2006/relationships/hyperlink" Target="https://my.zakupki.prom.ua/remote/dispatcher/state_purchase_view/39692705" TargetMode="External"/>
  <ns0:Relationship Id="rId451" Type="http://schemas.openxmlformats.org/officeDocument/2006/relationships/hyperlink" Target="https://my.zakupki.prom.ua/remote/dispatcher/state_contracting_view/15087085" TargetMode="External"/>
  <ns0:Relationship Id="rId452" Type="http://schemas.openxmlformats.org/officeDocument/2006/relationships/hyperlink" Target="https://my.zakupki.prom.ua/remote/dispatcher/state_purchase_view/35864739" TargetMode="External"/>
  <ns0:Relationship Id="rId453" Type="http://schemas.openxmlformats.org/officeDocument/2006/relationships/hyperlink" Target="https://my.zakupki.prom.ua/remote/dispatcher/state_contracting_view/13237309" TargetMode="External"/>
  <ns0:Relationship Id="rId454" Type="http://schemas.openxmlformats.org/officeDocument/2006/relationships/hyperlink" Target="https://my.zakupki.prom.ua/remote/dispatcher/state_purchase_view/35638007" TargetMode="External"/>
  <ns0:Relationship Id="rId455" Type="http://schemas.openxmlformats.org/officeDocument/2006/relationships/hyperlink" Target="https://my.zakupki.prom.ua/remote/dispatcher/state_contracting_view/13117367" TargetMode="External"/>
  <ns0:Relationship Id="rId456" Type="http://schemas.openxmlformats.org/officeDocument/2006/relationships/hyperlink" Target="https://my.zakupki.prom.ua/remote/dispatcher/state_purchase_view/36708879" TargetMode="External"/>
  <ns0:Relationship Id="rId457" Type="http://schemas.openxmlformats.org/officeDocument/2006/relationships/hyperlink" Target="https://my.zakupki.prom.ua/remote/dispatcher/state_contracting_view/13662457" TargetMode="External"/>
  <ns0:Relationship Id="rId458" Type="http://schemas.openxmlformats.org/officeDocument/2006/relationships/hyperlink" Target="https://my.zakupki.prom.ua/remote/dispatcher/state_purchase_view/36744815" TargetMode="External"/>
  <ns0:Relationship Id="rId459" Type="http://schemas.openxmlformats.org/officeDocument/2006/relationships/hyperlink" Target="https://my.zakupki.prom.ua/remote/dispatcher/state_contracting_view/13679007" TargetMode="External"/>
  <ns0:Relationship Id="rId460" Type="http://schemas.openxmlformats.org/officeDocument/2006/relationships/hyperlink" Target="https://my.zakupki.prom.ua/remote/dispatcher/state_purchase_view/37409261" TargetMode="External"/>
  <ns0:Relationship Id="rId461" Type="http://schemas.openxmlformats.org/officeDocument/2006/relationships/hyperlink" Target="https://my.zakupki.prom.ua/remote/dispatcher/state_contracting_view/13997330" TargetMode="External"/>
  <ns0:Relationship Id="rId462" Type="http://schemas.openxmlformats.org/officeDocument/2006/relationships/hyperlink" Target="https://my.zakupki.prom.ua/remote/dispatcher/state_purchase_view/37640108" TargetMode="External"/>
  <ns0:Relationship Id="rId463" Type="http://schemas.openxmlformats.org/officeDocument/2006/relationships/hyperlink" Target="https://my.zakupki.prom.ua/remote/dispatcher/state_contracting_view/14110113" TargetMode="External"/>
  <ns0:Relationship Id="rId464" Type="http://schemas.openxmlformats.org/officeDocument/2006/relationships/hyperlink" Target="https://my.zakupki.prom.ua/remote/dispatcher/state_purchase_view/39536225" TargetMode="External"/>
  <ns0:Relationship Id="rId465" Type="http://schemas.openxmlformats.org/officeDocument/2006/relationships/hyperlink" Target="https://my.zakupki.prom.ua/remote/dispatcher/state_contracting_view/15011491" TargetMode="External"/>
  <ns0:Relationship Id="rId466" Type="http://schemas.openxmlformats.org/officeDocument/2006/relationships/hyperlink" Target="https://my.zakupki.prom.ua/remote/dispatcher/state_purchase_view/39571084" TargetMode="External"/>
  <ns0:Relationship Id="rId467" Type="http://schemas.openxmlformats.org/officeDocument/2006/relationships/hyperlink" Target="https://my.zakupki.prom.ua/remote/dispatcher/state_contracting_view/15028125" TargetMode="External"/>
  <ns0:Relationship Id="rId468" Type="http://schemas.openxmlformats.org/officeDocument/2006/relationships/hyperlink" Target="https://my.zakupki.prom.ua/remote/dispatcher/state_purchase_view/39574706" TargetMode="External"/>
  <ns0:Relationship Id="rId469" Type="http://schemas.openxmlformats.org/officeDocument/2006/relationships/hyperlink" Target="https://my.zakupki.prom.ua/remote/dispatcher/state_contracting_view/15029998" TargetMode="External"/>
  <ns0:Relationship Id="rId470" Type="http://schemas.openxmlformats.org/officeDocument/2006/relationships/hyperlink" Target="https://my.zakupki.prom.ua/remote/dispatcher/state_purchase_view/38937115" TargetMode="External"/>
  <ns0:Relationship Id="rId471" Type="http://schemas.openxmlformats.org/officeDocument/2006/relationships/hyperlink" Target="https://my.zakupki.prom.ua/remote/dispatcher/state_contracting_view/14731614" TargetMode="External"/>
  <ns0:Relationship Id="rId472" Type="http://schemas.openxmlformats.org/officeDocument/2006/relationships/hyperlink" Target="https://my.zakupki.prom.ua/remote/dispatcher/state_purchase_view/38648507" TargetMode="External"/>
  <ns0:Relationship Id="rId473" Type="http://schemas.openxmlformats.org/officeDocument/2006/relationships/hyperlink" Target="https://my.zakupki.prom.ua/remote/dispatcher/state_contracting_view/14599192" TargetMode="External"/>
  <ns0:Relationship Id="rId474" Type="http://schemas.openxmlformats.org/officeDocument/2006/relationships/hyperlink" Target="https://my.zakupki.prom.ua/remote/dispatcher/state_purchase_view/38090413" TargetMode="External"/>
  <ns0:Relationship Id="rId475" Type="http://schemas.openxmlformats.org/officeDocument/2006/relationships/hyperlink" Target="https://my.zakupki.prom.ua/remote/dispatcher/state_contracting_view/14332885" TargetMode="External"/>
  <ns0:Relationship Id="rId476" Type="http://schemas.openxmlformats.org/officeDocument/2006/relationships/hyperlink" Target="https://my.zakupki.prom.ua/remote/dispatcher/state_purchase_view/38781470" TargetMode="External"/>
  <ns0:Relationship Id="rId477" Type="http://schemas.openxmlformats.org/officeDocument/2006/relationships/hyperlink" Target="https://my.zakupki.prom.ua/remote/dispatcher/state_contracting_view/14661059" TargetMode="External"/>
  <ns0:Relationship Id="rId478" Type="http://schemas.openxmlformats.org/officeDocument/2006/relationships/hyperlink" Target="https://my.zakupki.prom.ua/remote/dispatcher/state_purchase_view/35802477" TargetMode="External"/>
  <ns0:Relationship Id="rId479" Type="http://schemas.openxmlformats.org/officeDocument/2006/relationships/hyperlink" Target="https://my.zakupki.prom.ua/remote/dispatcher/state_contracting_view/13204910" TargetMode="External"/>
  <ns0:Relationship Id="rId480" Type="http://schemas.openxmlformats.org/officeDocument/2006/relationships/hyperlink" Target="https://my.zakupki.prom.ua/remote/dispatcher/state_purchase_view/35686506" TargetMode="External"/>
  <ns0:Relationship Id="rId481" Type="http://schemas.openxmlformats.org/officeDocument/2006/relationships/hyperlink" Target="https://my.zakupki.prom.ua/remote/dispatcher/state_contracting_view/13143508" TargetMode="External"/>
  <ns0:Relationship Id="rId482" Type="http://schemas.openxmlformats.org/officeDocument/2006/relationships/hyperlink" Target="https://my.zakupki.prom.ua/remote/dispatcher/state_purchase_view/34450110" TargetMode="External"/>
  <ns0:Relationship Id="rId483" Type="http://schemas.openxmlformats.org/officeDocument/2006/relationships/hyperlink" Target="https://my.zakupki.prom.ua/remote/dispatcher/state_contracting_view/12552148" TargetMode="External"/>
  <ns0:Relationship Id="rId484" Type="http://schemas.openxmlformats.org/officeDocument/2006/relationships/hyperlink" Target="https://my.zakupki.prom.ua/remote/dispatcher/state_purchase_view/34535424" TargetMode="External"/>
  <ns0:Relationship Id="rId485" Type="http://schemas.openxmlformats.org/officeDocument/2006/relationships/hyperlink" Target="https://my.zakupki.prom.ua/remote/dispatcher/state_contracting_view/12591027" TargetMode="External"/>
  <ns0:Relationship Id="rId486" Type="http://schemas.openxmlformats.org/officeDocument/2006/relationships/hyperlink" Target="https://my.zakupki.prom.ua/remote/dispatcher/state_purchase_view/35500128" TargetMode="External"/>
  <ns0:Relationship Id="rId487" Type="http://schemas.openxmlformats.org/officeDocument/2006/relationships/hyperlink" Target="https://my.zakupki.prom.ua/remote/dispatcher/state_contracting_view/13045817" TargetMode="External"/>
  <ns0:Relationship Id="rId488" Type="http://schemas.openxmlformats.org/officeDocument/2006/relationships/hyperlink" Target="https://my.zakupki.prom.ua/remote/dispatcher/state_purchase_view/33311350" TargetMode="External"/>
  <ns0:Relationship Id="rId489" Type="http://schemas.openxmlformats.org/officeDocument/2006/relationships/hyperlink" Target="https://my.zakupki.prom.ua/remote/dispatcher/state_contracting_view/12394815" TargetMode="External"/>
  <ns0:Relationship Id="rId490" Type="http://schemas.openxmlformats.org/officeDocument/2006/relationships/hyperlink" Target="https://my.zakupki.prom.ua/remote/dispatcher/state_purchase_view/34143328" TargetMode="External"/>
  <ns0:Relationship Id="rId491" Type="http://schemas.openxmlformats.org/officeDocument/2006/relationships/hyperlink" Target="https://my.zakupki.prom.ua/remote/dispatcher/state_contracting_view/12416256" TargetMode="External"/>
  <ns0:Relationship Id="rId492" Type="http://schemas.openxmlformats.org/officeDocument/2006/relationships/hyperlink" Target="https://my.zakupki.prom.ua/remote/dispatcher/state_purchase_view/34144686" TargetMode="External"/>
  <ns0:Relationship Id="rId493" Type="http://schemas.openxmlformats.org/officeDocument/2006/relationships/hyperlink" Target="https://my.zakupki.prom.ua/remote/dispatcher/state_contracting_view/12416851" TargetMode="External"/>
  <ns0:Relationship Id="rId494" Type="http://schemas.openxmlformats.org/officeDocument/2006/relationships/hyperlink" Target="https://my.zakupki.prom.ua/remote/dispatcher/state_purchase_view/34157309" TargetMode="External"/>
  <ns0:Relationship Id="rId495" Type="http://schemas.openxmlformats.org/officeDocument/2006/relationships/hyperlink" Target="https://my.zakupki.prom.ua/remote/dispatcher/state_contracting_view/12719288" TargetMode="External"/>
  <ns0:Relationship Id="rId496" Type="http://schemas.openxmlformats.org/officeDocument/2006/relationships/hyperlink" Target="https://my.zakupki.prom.ua/remote/dispatcher/state_purchase_view/34924128" TargetMode="External"/>
  <ns0:Relationship Id="rId497" Type="http://schemas.openxmlformats.org/officeDocument/2006/relationships/hyperlink" Target="https://my.zakupki.prom.ua/remote/dispatcher/state_contracting_view/12769348" TargetMode="External"/>
  <ns0:Relationship Id="rId498" Type="http://schemas.openxmlformats.org/officeDocument/2006/relationships/hyperlink" Target="https://my.zakupki.prom.ua/remote/dispatcher/state_purchase_view/34794892" TargetMode="External"/>
  <ns0:Relationship Id="rId499" Type="http://schemas.openxmlformats.org/officeDocument/2006/relationships/hyperlink" Target="https://my.zakupki.prom.ua/remote/dispatcher/state_contracting_view/12719101" TargetMode="External"/>
  <ns0:Relationship Id="rId500" Type="http://schemas.openxmlformats.org/officeDocument/2006/relationships/hyperlink" Target="https://my.zakupki.prom.ua/remote/dispatcher/state_purchase_view/36428275" TargetMode="External"/>
  <ns0:Relationship Id="rId501" Type="http://schemas.openxmlformats.org/officeDocument/2006/relationships/hyperlink" Target="https://my.zakupki.prom.ua/remote/dispatcher/state_contracting_view/13526340" TargetMode="External"/>
  <ns0:Relationship Id="rId502" Type="http://schemas.openxmlformats.org/officeDocument/2006/relationships/hyperlink" Target="https://my.zakupki.prom.ua/remote/dispatcher/state_purchase_view/33962800" TargetMode="External"/>
  <ns0:Relationship Id="rId503" Type="http://schemas.openxmlformats.org/officeDocument/2006/relationships/hyperlink" Target="https://my.zakupki.prom.ua/remote/dispatcher/state_contracting_view/12840607" TargetMode="External"/>
  <ns0:Relationship Id="rId504" Type="http://schemas.openxmlformats.org/officeDocument/2006/relationships/hyperlink" Target="https://my.zakupki.prom.ua/remote/dispatcher/state_purchase_view/36223946" TargetMode="External"/>
  <ns0:Relationship Id="rId505" Type="http://schemas.openxmlformats.org/officeDocument/2006/relationships/hyperlink" Target="https://my.zakupki.prom.ua/remote/dispatcher/state_contracting_view/13421744" TargetMode="External"/>
  <ns0:Relationship Id="rId506" Type="http://schemas.openxmlformats.org/officeDocument/2006/relationships/hyperlink" Target="https://my.zakupki.prom.ua/remote/dispatcher/state_purchase_view/35615844" TargetMode="External"/>
  <ns0:Relationship Id="rId507" Type="http://schemas.openxmlformats.org/officeDocument/2006/relationships/hyperlink" Target="https://my.zakupki.prom.ua/remote/dispatcher/state_contracting_view/13105537" TargetMode="External"/>
  <ns0:Relationship Id="rId508" Type="http://schemas.openxmlformats.org/officeDocument/2006/relationships/hyperlink" Target="https://my.zakupki.prom.ua/remote/dispatcher/state_purchase_view/35597989" TargetMode="External"/>
  <ns0:Relationship Id="rId509" Type="http://schemas.openxmlformats.org/officeDocument/2006/relationships/hyperlink" Target="https://my.zakupki.prom.ua/remote/dispatcher/state_contracting_view/13097845" TargetMode="External"/>
  <ns0:Relationship Id="rId510" Type="http://schemas.openxmlformats.org/officeDocument/2006/relationships/hyperlink" Target="https://my.zakupki.prom.ua/remote/dispatcher/state_purchase_view/35486812" TargetMode="External"/>
  <ns0:Relationship Id="rId511" Type="http://schemas.openxmlformats.org/officeDocument/2006/relationships/hyperlink" Target="https://my.zakupki.prom.ua/remote/dispatcher/state_contracting_view/13139821" TargetMode="External"/>
  <ns0:Relationship Id="rId512" Type="http://schemas.openxmlformats.org/officeDocument/2006/relationships/hyperlink" Target="https://my.zakupki.prom.ua/remote/dispatcher/state_purchase_view/35821170" TargetMode="External"/>
  <ns0:Relationship Id="rId513" Type="http://schemas.openxmlformats.org/officeDocument/2006/relationships/hyperlink" Target="https://my.zakupki.prom.ua/remote/dispatcher/state_contracting_view/13215025" TargetMode="External"/>
  <ns0:Relationship Id="rId514" Type="http://schemas.openxmlformats.org/officeDocument/2006/relationships/hyperlink" Target="https://my.zakupki.prom.ua/remote/dispatcher/state_purchase_view/35851961" TargetMode="External"/>
  <ns0:Relationship Id="rId515" Type="http://schemas.openxmlformats.org/officeDocument/2006/relationships/hyperlink" Target="https://my.zakupki.prom.ua/remote/dispatcher/state_contracting_view/13230551" TargetMode="External"/>
  <ns0:Relationship Id="rId516" Type="http://schemas.openxmlformats.org/officeDocument/2006/relationships/hyperlink" Target="https://my.zakupki.prom.ua/remote/dispatcher/state_purchase_view/35952236" TargetMode="External"/>
  <ns0:Relationship Id="rId517" Type="http://schemas.openxmlformats.org/officeDocument/2006/relationships/hyperlink" Target="https://my.zakupki.prom.ua/remote/dispatcher/state_contracting_view/13282041" TargetMode="External"/>
  <ns0:Relationship Id="rId518" Type="http://schemas.openxmlformats.org/officeDocument/2006/relationships/hyperlink" Target="https://my.zakupki.prom.ua/remote/dispatcher/state_purchase_view/35679625" TargetMode="External"/>
  <ns0:Relationship Id="rId519" Type="http://schemas.openxmlformats.org/officeDocument/2006/relationships/hyperlink" Target="https://my.zakupki.prom.ua/remote/dispatcher/state_contracting_view/13139774" TargetMode="External"/>
  <ns0:Relationship Id="rId520" Type="http://schemas.openxmlformats.org/officeDocument/2006/relationships/hyperlink" Target="https://my.zakupki.prom.ua/remote/dispatcher/state_purchase_view/36525848" TargetMode="External"/>
  <ns0:Relationship Id="rId521" Type="http://schemas.openxmlformats.org/officeDocument/2006/relationships/hyperlink" Target="https://my.zakupki.prom.ua/remote/dispatcher/state_contracting_view/13575426" TargetMode="External"/>
  <ns0:Relationship Id="rId522" Type="http://schemas.openxmlformats.org/officeDocument/2006/relationships/hyperlink" Target="https://my.zakupki.prom.ua/remote/dispatcher/state_purchase_view/36494252" TargetMode="External"/>
  <ns0:Relationship Id="rId523" Type="http://schemas.openxmlformats.org/officeDocument/2006/relationships/hyperlink" Target="https://my.zakupki.prom.ua/remote/dispatcher/state_contracting_view/13560023" TargetMode="External"/>
  <ns0:Relationship Id="rId524" Type="http://schemas.openxmlformats.org/officeDocument/2006/relationships/hyperlink" Target="https://my.zakupki.prom.ua/remote/dispatcher/state_purchase_view/37919562" TargetMode="External"/>
  <ns0:Relationship Id="rId525" Type="http://schemas.openxmlformats.org/officeDocument/2006/relationships/hyperlink" Target="https://my.zakupki.prom.ua/remote/dispatcher/state_contracting_view/14247739" TargetMode="External"/>
  <ns0:Relationship Id="rId526" Type="http://schemas.openxmlformats.org/officeDocument/2006/relationships/hyperlink" Target="https://my.zakupki.prom.ua/remote/dispatcher/state_purchase_view/37064365" TargetMode="External"/>
  <ns0:Relationship Id="rId527" Type="http://schemas.openxmlformats.org/officeDocument/2006/relationships/hyperlink" Target="https://my.zakupki.prom.ua/remote/dispatcher/state_contracting_view/13830138" TargetMode="External"/>
  <ns0:Relationship Id="rId528" Type="http://schemas.openxmlformats.org/officeDocument/2006/relationships/hyperlink" Target="https://my.zakupki.prom.ua/remote/dispatcher/state_purchase_view/37071103" TargetMode="External"/>
  <ns0:Relationship Id="rId529" Type="http://schemas.openxmlformats.org/officeDocument/2006/relationships/hyperlink" Target="https://my.zakupki.prom.ua/remote/dispatcher/state_contracting_view/13833389" TargetMode="External"/>
  <ns0:Relationship Id="rId530" Type="http://schemas.openxmlformats.org/officeDocument/2006/relationships/hyperlink" Target="https://my.zakupki.prom.ua/remote/dispatcher/state_purchase_view/39694399" TargetMode="External"/>
  <ns0:Relationship Id="rId531" Type="http://schemas.openxmlformats.org/officeDocument/2006/relationships/hyperlink" Target="https://my.zakupki.prom.ua/remote/dispatcher/state_contracting_view/15087877" TargetMode="External"/>
  <ns0:Relationship Id="rId532" Type="http://schemas.openxmlformats.org/officeDocument/2006/relationships/hyperlink" Target="https://my.zakupki.prom.ua/remote/dispatcher/state_purchase_view/38995789" TargetMode="External"/>
  <ns0:Relationship Id="rId533" Type="http://schemas.openxmlformats.org/officeDocument/2006/relationships/hyperlink" Target="https://my.zakupki.prom.ua/remote/dispatcher/state_contracting_view/14758571" TargetMode="External"/>
  <ns0:Relationship Id="rId534" Type="http://schemas.openxmlformats.org/officeDocument/2006/relationships/hyperlink" Target="https://my.zakupki.prom.ua/remote/dispatcher/state_purchase_view/35538319" TargetMode="External"/>
  <ns0:Relationship Id="rId535" Type="http://schemas.openxmlformats.org/officeDocument/2006/relationships/hyperlink" Target="https://my.zakupki.prom.ua/remote/dispatcher/state_contracting_view/13065266" TargetMode="External"/>
  <ns0:Relationship Id="rId536" Type="http://schemas.openxmlformats.org/officeDocument/2006/relationships/hyperlink" Target="https://my.zakupki.prom.ua/remote/dispatcher/state_purchase_view/35514997" TargetMode="External"/>
  <ns0:Relationship Id="rId537" Type="http://schemas.openxmlformats.org/officeDocument/2006/relationships/hyperlink" Target="https://my.zakupki.prom.ua/remote/dispatcher/state_contracting_view/13050964" TargetMode="External"/>
  <ns0:Relationship Id="rId538" Type="http://schemas.openxmlformats.org/officeDocument/2006/relationships/hyperlink" Target="https://my.zakupki.prom.ua/remote/dispatcher/state_purchase_view/36387145" TargetMode="External"/>
  <ns0:Relationship Id="rId539" Type="http://schemas.openxmlformats.org/officeDocument/2006/relationships/hyperlink" Target="https://my.zakupki.prom.ua/remote/dispatcher/state_contracting_view/13505568" TargetMode="External"/>
  <ns0:Relationship Id="rId540" Type="http://schemas.openxmlformats.org/officeDocument/2006/relationships/hyperlink" Target="https://my.zakupki.prom.ua/remote/dispatcher/state_purchase_view/34399065" TargetMode="External"/>
  <ns0:Relationship Id="rId541" Type="http://schemas.openxmlformats.org/officeDocument/2006/relationships/hyperlink" Target="https://my.zakupki.prom.ua/remote/dispatcher/state_contracting_view/12525950" TargetMode="External"/>
  <ns0:Relationship Id="rId542" Type="http://schemas.openxmlformats.org/officeDocument/2006/relationships/hyperlink" Target="https://my.zakupki.prom.ua/remote/dispatcher/state_purchase_view/34785798" TargetMode="External"/>
  <ns0:Relationship Id="rId543" Type="http://schemas.openxmlformats.org/officeDocument/2006/relationships/hyperlink" Target="https://my.zakupki.prom.ua/remote/dispatcher/state_contracting_view/12704761" TargetMode="External"/>
  <ns0:Relationship Id="rId544" Type="http://schemas.openxmlformats.org/officeDocument/2006/relationships/hyperlink" Target="https://my.zakupki.prom.ua/remote/dispatcher/state_purchase_view/34788465" TargetMode="External"/>
  <ns0:Relationship Id="rId545" Type="http://schemas.openxmlformats.org/officeDocument/2006/relationships/hyperlink" Target="https://my.zakupki.prom.ua/remote/dispatcher/state_contracting_view/12705973" TargetMode="External"/>
  <ns0:Relationship Id="rId546" Type="http://schemas.openxmlformats.org/officeDocument/2006/relationships/hyperlink" Target="https://my.zakupki.prom.ua/remote/dispatcher/state_purchase_view/34790530" TargetMode="External"/>
  <ns0:Relationship Id="rId547" Type="http://schemas.openxmlformats.org/officeDocument/2006/relationships/hyperlink" Target="https://my.zakupki.prom.ua/remote/dispatcher/state_contracting_view/12711303" TargetMode="External"/>
  <ns0:Relationship Id="rId548" Type="http://schemas.openxmlformats.org/officeDocument/2006/relationships/hyperlink" Target="https://my.zakupki.prom.ua/remote/dispatcher/state_purchase_view/34927448" TargetMode="External"/>
  <ns0:Relationship Id="rId549" Type="http://schemas.openxmlformats.org/officeDocument/2006/relationships/hyperlink" Target="https://my.zakupki.prom.ua/remote/dispatcher/state_contracting_view/12770718" TargetMode="External"/>
  <ns0:Relationship Id="rId550" Type="http://schemas.openxmlformats.org/officeDocument/2006/relationships/hyperlink" Target="https://my.zakupki.prom.ua/remote/dispatcher/state_purchase_view/33933781" TargetMode="External"/>
  <ns0:Relationship Id="rId551" Type="http://schemas.openxmlformats.org/officeDocument/2006/relationships/hyperlink" Target="https://my.zakupki.prom.ua/remote/dispatcher/state_contracting_view/12338463" TargetMode="External"/>
  <ns0:Relationship Id="rId552" Type="http://schemas.openxmlformats.org/officeDocument/2006/relationships/hyperlink" Target="https://my.zakupki.prom.ua/remote/dispatcher/state_purchase_view/34881934" TargetMode="External"/>
  <ns0:Relationship Id="rId553" Type="http://schemas.openxmlformats.org/officeDocument/2006/relationships/hyperlink" Target="https://my.zakupki.prom.ua/remote/dispatcher/state_contracting_view/12749433" TargetMode="External"/>
  <ns0:Relationship Id="rId554" Type="http://schemas.openxmlformats.org/officeDocument/2006/relationships/hyperlink" Target="https://my.zakupki.prom.ua/remote/dispatcher/state_purchase_view/35948317" TargetMode="External"/>
  <ns0:Relationship Id="rId555" Type="http://schemas.openxmlformats.org/officeDocument/2006/relationships/hyperlink" Target="https://my.zakupki.prom.ua/remote/dispatcher/state_contracting_view/13279947" TargetMode="External"/>
  <ns0:Relationship Id="rId556" Type="http://schemas.openxmlformats.org/officeDocument/2006/relationships/hyperlink" Target="https://my.zakupki.prom.ua/remote/dispatcher/state_purchase_view/35615658" TargetMode="External"/>
  <ns0:Relationship Id="rId557" Type="http://schemas.openxmlformats.org/officeDocument/2006/relationships/hyperlink" Target="https://my.zakupki.prom.ua/remote/dispatcher/state_contracting_view/13105428" TargetMode="External"/>
  <ns0:Relationship Id="rId558" Type="http://schemas.openxmlformats.org/officeDocument/2006/relationships/hyperlink" Target="https://my.zakupki.prom.ua/remote/dispatcher/state_purchase_view/35900832" TargetMode="External"/>
  <ns0:Relationship Id="rId559" Type="http://schemas.openxmlformats.org/officeDocument/2006/relationships/hyperlink" Target="https://my.zakupki.prom.ua/remote/dispatcher/state_contracting_view/13255505" TargetMode="External"/>
  <ns0:Relationship Id="rId560" Type="http://schemas.openxmlformats.org/officeDocument/2006/relationships/hyperlink" Target="https://my.zakupki.prom.ua/remote/dispatcher/state_purchase_view/35938990" TargetMode="External"/>
  <ns0:Relationship Id="rId561" Type="http://schemas.openxmlformats.org/officeDocument/2006/relationships/hyperlink" Target="https://my.zakupki.prom.ua/remote/dispatcher/state_contracting_view/13275104" TargetMode="External"/>
  <ns0:Relationship Id="rId562" Type="http://schemas.openxmlformats.org/officeDocument/2006/relationships/hyperlink" Target="https://my.zakupki.prom.ua/remote/dispatcher/state_purchase_view/35947391" TargetMode="External"/>
  <ns0:Relationship Id="rId563" Type="http://schemas.openxmlformats.org/officeDocument/2006/relationships/hyperlink" Target="https://my.zakupki.prom.ua/remote/dispatcher/state_contracting_view/13279355" TargetMode="External"/>
  <ns0:Relationship Id="rId564" Type="http://schemas.openxmlformats.org/officeDocument/2006/relationships/hyperlink" Target="https://my.zakupki.prom.ua/remote/dispatcher/state_purchase_view/35947537" TargetMode="External"/>
  <ns0:Relationship Id="rId565" Type="http://schemas.openxmlformats.org/officeDocument/2006/relationships/hyperlink" Target="https://my.zakupki.prom.ua/remote/dispatcher/state_contracting_view/13279379" TargetMode="External"/>
  <ns0:Relationship Id="rId566" Type="http://schemas.openxmlformats.org/officeDocument/2006/relationships/hyperlink" Target="https://my.zakupki.prom.ua/remote/dispatcher/state_purchase_view/35960478" TargetMode="External"/>
  <ns0:Relationship Id="rId567" Type="http://schemas.openxmlformats.org/officeDocument/2006/relationships/hyperlink" Target="https://my.zakupki.prom.ua/remote/dispatcher/state_contracting_view/13286543" TargetMode="External"/>
  <ns0:Relationship Id="rId568" Type="http://schemas.openxmlformats.org/officeDocument/2006/relationships/hyperlink" Target="https://my.zakupki.prom.ua/remote/dispatcher/state_purchase_view/36524024" TargetMode="External"/>
  <ns0:Relationship Id="rId569" Type="http://schemas.openxmlformats.org/officeDocument/2006/relationships/hyperlink" Target="https://my.zakupki.prom.ua/remote/dispatcher/state_contracting_view/13574400" TargetMode="External"/>
  <ns0:Relationship Id="rId570" Type="http://schemas.openxmlformats.org/officeDocument/2006/relationships/hyperlink" Target="https://my.zakupki.prom.ua/remote/dispatcher/state_purchase_view/38385862" TargetMode="External"/>
  <ns0:Relationship Id="rId571" Type="http://schemas.openxmlformats.org/officeDocument/2006/relationships/hyperlink" Target="https://my.zakupki.prom.ua/remote/dispatcher/state_contracting_view/14477567" TargetMode="External"/>
  <ns0:Relationship Id="rId572" Type="http://schemas.openxmlformats.org/officeDocument/2006/relationships/hyperlink" Target="https://my.zakupki.prom.ua/remote/dispatcher/state_purchase_view/37759890" TargetMode="External"/>
  <ns0:Relationship Id="rId573" Type="http://schemas.openxmlformats.org/officeDocument/2006/relationships/hyperlink" Target="https://my.zakupki.prom.ua/remote/dispatcher/state_contracting_view/14302539" TargetMode="External"/>
  <ns0:Relationship Id="rId574" Type="http://schemas.openxmlformats.org/officeDocument/2006/relationships/hyperlink" Target="https://my.zakupki.prom.ua/remote/dispatcher/state_purchase_view/39158921" TargetMode="External"/>
  <ns0:Relationship Id="rId575" Type="http://schemas.openxmlformats.org/officeDocument/2006/relationships/hyperlink" Target="https://my.zakupki.prom.ua/remote/dispatcher/state_contracting_view/14833205" TargetMode="External"/>
  <ns0:Relationship Id="rId576" Type="http://schemas.openxmlformats.org/officeDocument/2006/relationships/hyperlink" Target="https://my.zakupki.prom.ua/remote/dispatcher/state_purchase_view/39161827" TargetMode="External"/>
  <ns0:Relationship Id="rId577" Type="http://schemas.openxmlformats.org/officeDocument/2006/relationships/hyperlink" Target="https://my.zakupki.prom.ua/remote/dispatcher/state_contracting_view/14834751" TargetMode="External"/>
  <ns0:Relationship Id="rId578" Type="http://schemas.openxmlformats.org/officeDocument/2006/relationships/hyperlink" Target="https://my.zakupki.prom.ua/remote/dispatcher/state_purchase_view/39164666" TargetMode="External"/>
  <ns0:Relationship Id="rId579" Type="http://schemas.openxmlformats.org/officeDocument/2006/relationships/hyperlink" Target="https://my.zakupki.prom.ua/remote/dispatcher/state_contracting_view/14836142" TargetMode="External"/>
  <ns0:Relationship Id="rId580" Type="http://schemas.openxmlformats.org/officeDocument/2006/relationships/hyperlink" Target="https://my.zakupki.prom.ua/remote/dispatcher/state_purchase_view/39812107" TargetMode="External"/>
  <ns0:Relationship Id="rId581" Type="http://schemas.openxmlformats.org/officeDocument/2006/relationships/hyperlink" Target="https://my.zakupki.prom.ua/remote/dispatcher/state_contracting_view/15145304" TargetMode="External"/>
  <ns0:Relationship Id="rId582" Type="http://schemas.openxmlformats.org/officeDocument/2006/relationships/hyperlink" Target="https://my.zakupki.prom.ua/remote/dispatcher/state_purchase_view/38089181" TargetMode="External"/>
  <ns0:Relationship Id="rId583" Type="http://schemas.openxmlformats.org/officeDocument/2006/relationships/hyperlink" Target="https://my.zakupki.prom.ua/remote/dispatcher/state_contracting_view/14332224" TargetMode="External"/>
  <ns0:Relationship Id="rId584" Type="http://schemas.openxmlformats.org/officeDocument/2006/relationships/hyperlink" Target="https://my.zakupki.prom.ua/remote/dispatcher/state_purchase_view/38150395" TargetMode="External"/>
  <ns0:Relationship Id="rId585" Type="http://schemas.openxmlformats.org/officeDocument/2006/relationships/hyperlink" Target="https://my.zakupki.prom.ua/remote/dispatcher/state_contracting_view/14366496" TargetMode="External"/>
  <ns0:Relationship Id="rId586" Type="http://schemas.openxmlformats.org/officeDocument/2006/relationships/hyperlink" Target="https://my.zakupki.prom.ua/remote/dispatcher/state_purchase_view/38150883" TargetMode="External"/>
  <ns0:Relationship Id="rId587" Type="http://schemas.openxmlformats.org/officeDocument/2006/relationships/hyperlink" Target="https://my.zakupki.prom.ua/remote/dispatcher/state_contracting_view/14366643" TargetMode="External"/>
  <ns0:Relationship Id="rId588" Type="http://schemas.openxmlformats.org/officeDocument/2006/relationships/hyperlink" Target="https://my.zakupki.prom.ua/remote/dispatcher/state_purchase_view/38292951" TargetMode="External"/>
  <ns0:Relationship Id="rId589" Type="http://schemas.openxmlformats.org/officeDocument/2006/relationships/hyperlink" Target="https://my.zakupki.prom.ua/remote/dispatcher/state_contracting_view/14433725" TargetMode="External"/>
  <ns0:Relationship Id="rId590" Type="http://schemas.openxmlformats.org/officeDocument/2006/relationships/hyperlink" Target="https://my.zakupki.prom.ua/remote/dispatcher/state_purchase_view/39782632" TargetMode="External"/>
  <ns0:Relationship Id="rId591" Type="http://schemas.openxmlformats.org/officeDocument/2006/relationships/hyperlink" Target="https://my.zakupki.prom.ua/remote/dispatcher/state_contracting_view/15130629" TargetMode="External"/>
  <ns0:Relationship Id="rId592" Type="http://schemas.openxmlformats.org/officeDocument/2006/relationships/hyperlink" Target="https://my.zakupki.prom.ua/remote/dispatcher/state_purchase_view/37918875" TargetMode="External"/>
  <ns0:Relationship Id="rId593" Type="http://schemas.openxmlformats.org/officeDocument/2006/relationships/hyperlink" Target="https://my.zakupki.prom.ua/remote/dispatcher/state_contracting_view/14247209" TargetMode="External"/>
  <ns0:Relationship Id="rId594" Type="http://schemas.openxmlformats.org/officeDocument/2006/relationships/hyperlink" Target="https://my.zakupki.prom.ua/remote/dispatcher/state_purchase_view/39030166" TargetMode="External"/>
  <ns0:Relationship Id="rId595" Type="http://schemas.openxmlformats.org/officeDocument/2006/relationships/hyperlink" Target="https://my.zakupki.prom.ua/remote/dispatcher/state_contracting_view/14774244" TargetMode="External"/>
  <ns0:Relationship Id="rId596" Type="http://schemas.openxmlformats.org/officeDocument/2006/relationships/hyperlink" Target="https://my.zakupki.prom.ua/remote/dispatcher/state_purchase_view/38647751" TargetMode="External"/>
  <ns0:Relationship Id="rId597" Type="http://schemas.openxmlformats.org/officeDocument/2006/relationships/hyperlink" Target="https://my.zakupki.prom.ua/remote/dispatcher/state_contracting_view/14599157" TargetMode="External"/>
  <ns0:Relationship Id="rId598" Type="http://schemas.openxmlformats.org/officeDocument/2006/relationships/hyperlink" Target="https://my.zakupki.prom.ua/remote/dispatcher/state_purchase_view/38653310" TargetMode="External"/>
  <ns0:Relationship Id="rId599" Type="http://schemas.openxmlformats.org/officeDocument/2006/relationships/hyperlink" Target="https://my.zakupki.prom.ua/remote/dispatcher/state_contracting_view/14601742" TargetMode="External"/>
  <ns0:Relationship Id="rId600" Type="http://schemas.openxmlformats.org/officeDocument/2006/relationships/hyperlink" Target="https://my.zakupki.prom.ua/remote/dispatcher/state_purchase_view/38994365" TargetMode="External"/>
  <ns0:Relationship Id="rId601" Type="http://schemas.openxmlformats.org/officeDocument/2006/relationships/hyperlink" Target="https://my.zakupki.prom.ua/remote/dispatcher/state_contracting_view/14757706" TargetMode="External"/>
  <ns0:Relationship Id="rId602" Type="http://schemas.openxmlformats.org/officeDocument/2006/relationships/hyperlink" Target="https://my.zakupki.prom.ua/remote/dispatcher/state_purchase_view/35637635" TargetMode="External"/>
  <ns0:Relationship Id="rId603" Type="http://schemas.openxmlformats.org/officeDocument/2006/relationships/hyperlink" Target="https://my.zakupki.prom.ua/remote/dispatcher/state_contracting_view/13117048" TargetMode="External"/>
  <ns0:Relationship Id="rId604" Type="http://schemas.openxmlformats.org/officeDocument/2006/relationships/hyperlink" Target="https://my.zakupki.prom.ua/remote/dispatcher/state_purchase_view/35939513" TargetMode="External"/>
  <ns0:Relationship Id="rId605" Type="http://schemas.openxmlformats.org/officeDocument/2006/relationships/hyperlink" Target="https://my.zakupki.prom.ua/remote/dispatcher/state_contracting_view/13275450" TargetMode="External"/>
  <ns0:Relationship Id="rId606" Type="http://schemas.openxmlformats.org/officeDocument/2006/relationships/hyperlink" Target="https://my.zakupki.prom.ua/remote/dispatcher/state_purchase_view/35939262" TargetMode="External"/>
  <ns0:Relationship Id="rId607" Type="http://schemas.openxmlformats.org/officeDocument/2006/relationships/hyperlink" Target="https://my.zakupki.prom.ua/remote/dispatcher/state_contracting_view/13275235" TargetMode="External"/>
  <ns0:Relationship Id="rId608" Type="http://schemas.openxmlformats.org/officeDocument/2006/relationships/hyperlink" Target="https://my.zakupki.prom.ua/remote/dispatcher/state_purchase_view/37719318" TargetMode="External"/>
  <ns0:Relationship Id="rId609" Type="http://schemas.openxmlformats.org/officeDocument/2006/relationships/hyperlink" Target="https://my.zakupki.prom.ua/remote/dispatcher/state_contracting_view/14149695" TargetMode="External"/>
  <ns0:Relationship Id="rId610" Type="http://schemas.openxmlformats.org/officeDocument/2006/relationships/hyperlink" Target="https://my.zakupki.prom.ua/remote/dispatcher/state_purchase_view/37714905" TargetMode="External"/>
  <ns0:Relationship Id="rId611" Type="http://schemas.openxmlformats.org/officeDocument/2006/relationships/hyperlink" Target="https://my.zakupki.prom.ua/remote/dispatcher/state_contracting_view/14147448" TargetMode="External"/>
  <ns0:Relationship Id="rId612" Type="http://schemas.openxmlformats.org/officeDocument/2006/relationships/hyperlink" Target="https://my.zakupki.prom.ua/remote/dispatcher/state_purchase_view/36823078" TargetMode="External"/>
  <ns0:Relationship Id="rId613" Type="http://schemas.openxmlformats.org/officeDocument/2006/relationships/hyperlink" Target="https://my.zakupki.prom.ua/remote/dispatcher/state_contracting_view/13715910" TargetMode="External"/>
  <ns0:Relationship Id="rId614" Type="http://schemas.openxmlformats.org/officeDocument/2006/relationships/hyperlink" Target="https://my.zakupki.prom.ua/remote/dispatcher/state_purchase_view/36843274" TargetMode="External"/>
  <ns0:Relationship Id="rId615" Type="http://schemas.openxmlformats.org/officeDocument/2006/relationships/hyperlink" Target="https://my.zakupki.prom.ua/remote/dispatcher/state_contracting_view/13725035" TargetMode="External"/>
  <ns0:Relationship Id="rId616" Type="http://schemas.openxmlformats.org/officeDocument/2006/relationships/hyperlink" Target="https://my.zakupki.prom.ua/remote/dispatcher/state_purchase_view/36719456" TargetMode="External"/>
  <ns0:Relationship Id="rId617" Type="http://schemas.openxmlformats.org/officeDocument/2006/relationships/hyperlink" Target="https://my.zakupki.prom.ua/remote/dispatcher/state_contracting_view/13667263" TargetMode="External"/>
  <ns0:Relationship Id="rId618" Type="http://schemas.openxmlformats.org/officeDocument/2006/relationships/hyperlink" Target="https://my.zakupki.prom.ua/remote/dispatcher/state_purchase_view/35939127" TargetMode="External"/>
  <ns0:Relationship Id="rId619" Type="http://schemas.openxmlformats.org/officeDocument/2006/relationships/hyperlink" Target="https://my.zakupki.prom.ua/remote/dispatcher/state_contracting_view/13275208" TargetMode="External"/>
  <ns0:Relationship Id="rId620" Type="http://schemas.openxmlformats.org/officeDocument/2006/relationships/hyperlink" Target="https://my.zakupki.prom.ua/remote/dispatcher/state_purchase_view/35626120" TargetMode="External"/>
  <ns0:Relationship Id="rId621" Type="http://schemas.openxmlformats.org/officeDocument/2006/relationships/hyperlink" Target="https://my.zakupki.prom.ua/remote/dispatcher/state_contracting_view/13110476" TargetMode="External"/>
  <ns0:Relationship Id="rId622" Type="http://schemas.openxmlformats.org/officeDocument/2006/relationships/hyperlink" Target="https://my.zakupki.prom.ua/remote/dispatcher/state_purchase_view/35625350" TargetMode="External"/>
  <ns0:Relationship Id="rId623" Type="http://schemas.openxmlformats.org/officeDocument/2006/relationships/hyperlink" Target="https://my.zakupki.prom.ua/remote/dispatcher/state_contracting_view/13110198" TargetMode="External"/>
  <ns0:Relationship Id="rId624" Type="http://schemas.openxmlformats.org/officeDocument/2006/relationships/hyperlink" Target="https://my.zakupki.prom.ua/remote/dispatcher/state_purchase_view/36224534" TargetMode="External"/>
  <ns0:Relationship Id="rId625" Type="http://schemas.openxmlformats.org/officeDocument/2006/relationships/hyperlink" Target="https://my.zakupki.prom.ua/remote/dispatcher/state_contracting_view/13422085" TargetMode="External"/>
  <ns0:Relationship Id="rId626" Type="http://schemas.openxmlformats.org/officeDocument/2006/relationships/hyperlink" Target="https://my.zakupki.prom.ua/remote/dispatcher/state_purchase_view/36224950" TargetMode="External"/>
  <ns0:Relationship Id="rId627" Type="http://schemas.openxmlformats.org/officeDocument/2006/relationships/hyperlink" Target="https://my.zakupki.prom.ua/remote/dispatcher/state_contracting_view/13422320" TargetMode="External"/>
  <ns0:Relationship Id="rId628" Type="http://schemas.openxmlformats.org/officeDocument/2006/relationships/hyperlink" Target="https://my.zakupki.prom.ua/remote/dispatcher/state_purchase_view/35948555" TargetMode="External"/>
  <ns0:Relationship Id="rId629" Type="http://schemas.openxmlformats.org/officeDocument/2006/relationships/hyperlink" Target="https://my.zakupki.prom.ua/remote/dispatcher/state_contracting_view/13280041" TargetMode="External"/>
  <ns0:Relationship Id="rId630" Type="http://schemas.openxmlformats.org/officeDocument/2006/relationships/hyperlink" Target="https://my.zakupki.prom.ua/remote/dispatcher/state_purchase_view/35223274" TargetMode="External"/>
  <ns0:Relationship Id="rId631" Type="http://schemas.openxmlformats.org/officeDocument/2006/relationships/hyperlink" Target="https://my.zakupki.prom.ua/remote/dispatcher/state_contracting_view/12913840" TargetMode="External"/>
  <ns0:Relationship Id="rId632" Type="http://schemas.openxmlformats.org/officeDocument/2006/relationships/hyperlink" Target="https://my.zakupki.prom.ua/remote/dispatcher/state_purchase_view/36112549" TargetMode="External"/>
  <ns0:Relationship Id="rId633" Type="http://schemas.openxmlformats.org/officeDocument/2006/relationships/hyperlink" Target="https://my.zakupki.prom.ua/remote/dispatcher/state_contracting_view/13362440" TargetMode="External"/>
  <ns0:Relationship Id="rId634" Type="http://schemas.openxmlformats.org/officeDocument/2006/relationships/hyperlink" Target="https://my.zakupki.prom.ua/remote/dispatcher/state_purchase_view/33958476" TargetMode="External"/>
  <ns0:Relationship Id="rId635" Type="http://schemas.openxmlformats.org/officeDocument/2006/relationships/hyperlink" Target="https://my.zakupki.prom.ua/remote/dispatcher/state_contracting_view/12347733" TargetMode="External"/>
  <ns0:Relationship Id="rId636" Type="http://schemas.openxmlformats.org/officeDocument/2006/relationships/hyperlink" Target="https://my.zakupki.prom.ua/remote/dispatcher/state_purchase_view/33959843" TargetMode="External"/>
  <ns0:Relationship Id="rId637" Type="http://schemas.openxmlformats.org/officeDocument/2006/relationships/hyperlink" Target="https://my.zakupki.prom.ua/remote/dispatcher/state_contracting_view/12348080" TargetMode="External"/>
  <ns0:Relationship Id="rId638" Type="http://schemas.openxmlformats.org/officeDocument/2006/relationships/hyperlink" Target="https://my.zakupki.prom.ua/remote/dispatcher/state_purchase_view/34532352" TargetMode="External"/>
  <ns0:Relationship Id="rId639" Type="http://schemas.openxmlformats.org/officeDocument/2006/relationships/hyperlink" Target="https://my.zakupki.prom.ua/remote/dispatcher/state_contracting_view/12604131" TargetMode="External"/>
  <ns0:Relationship Id="rId640" Type="http://schemas.openxmlformats.org/officeDocument/2006/relationships/hyperlink" Target="https://my.zakupki.prom.ua/remote/dispatcher/state_purchase_view/35803053" TargetMode="External"/>
  <ns0:Relationship Id="rId641" Type="http://schemas.openxmlformats.org/officeDocument/2006/relationships/hyperlink" Target="https://my.zakupki.prom.ua/remote/dispatcher/state_contracting_view/13205171" TargetMode="External"/>
  <ns0:Relationship Id="rId642" Type="http://schemas.openxmlformats.org/officeDocument/2006/relationships/hyperlink" Target="https://my.zakupki.prom.ua/remote/dispatcher/state_purchase_view/35803113" TargetMode="External"/>
  <ns0:Relationship Id="rId643" Type="http://schemas.openxmlformats.org/officeDocument/2006/relationships/hyperlink" Target="https://my.zakupki.prom.ua/remote/dispatcher/state_contracting_view/13205269" TargetMode="External"/>
  <ns0:Relationship Id="rId644" Type="http://schemas.openxmlformats.org/officeDocument/2006/relationships/hyperlink" Target="https://my.zakupki.prom.ua/remote/dispatcher/state_purchase_view/35790800" TargetMode="External"/>
  <ns0:Relationship Id="rId645" Type="http://schemas.openxmlformats.org/officeDocument/2006/relationships/hyperlink" Target="https://my.zakupki.prom.ua/remote/dispatcher/state_contracting_view/13201222" TargetMode="External"/>
  <ns0:Relationship Id="rId646" Type="http://schemas.openxmlformats.org/officeDocument/2006/relationships/hyperlink" Target="https://my.zakupki.prom.ua/remote/dispatcher/state_purchase_view/35556579" TargetMode="External"/>
  <ns0:Relationship Id="rId647" Type="http://schemas.openxmlformats.org/officeDocument/2006/relationships/hyperlink" Target="https://my.zakupki.prom.ua/remote/dispatcher/state_contracting_view/13073388" TargetMode="External"/>
  <ns0:Relationship Id="rId648" Type="http://schemas.openxmlformats.org/officeDocument/2006/relationships/hyperlink" Target="https://my.zakupki.prom.ua/remote/dispatcher/state_purchase_view/35267952" TargetMode="External"/>
  <ns0:Relationship Id="rId649" Type="http://schemas.openxmlformats.org/officeDocument/2006/relationships/hyperlink" Target="https://my.zakupki.prom.ua/remote/dispatcher/state_contracting_view/12941721" TargetMode="External"/>
  <ns0:Relationship Id="rId650" Type="http://schemas.openxmlformats.org/officeDocument/2006/relationships/hyperlink" Target="https://my.zakupki.prom.ua/remote/dispatcher/state_purchase_view/36626958" TargetMode="External"/>
  <ns0:Relationship Id="rId651" Type="http://schemas.openxmlformats.org/officeDocument/2006/relationships/hyperlink" Target="https://my.zakupki.prom.ua/remote/dispatcher/state_contracting_view/13624387" TargetMode="External"/>
  <ns0:Relationship Id="rId652" Type="http://schemas.openxmlformats.org/officeDocument/2006/relationships/hyperlink" Target="https://my.zakupki.prom.ua/remote/dispatcher/state_purchase_view/36709045" TargetMode="External"/>
  <ns0:Relationship Id="rId653" Type="http://schemas.openxmlformats.org/officeDocument/2006/relationships/hyperlink" Target="https://my.zakupki.prom.ua/remote/dispatcher/state_contracting_view/13662468" TargetMode="External"/>
  <ns0:Relationship Id="rId654" Type="http://schemas.openxmlformats.org/officeDocument/2006/relationships/hyperlink" Target="https://my.zakupki.prom.ua/remote/dispatcher/state_purchase_view/36752572" TargetMode="External"/>
  <ns0:Relationship Id="rId655" Type="http://schemas.openxmlformats.org/officeDocument/2006/relationships/hyperlink" Target="https://my.zakupki.prom.ua/remote/dispatcher/state_contracting_view/13682748" TargetMode="External"/>
  <ns0:Relationship Id="rId656" Type="http://schemas.openxmlformats.org/officeDocument/2006/relationships/hyperlink" Target="https://my.zakupki.prom.ua/remote/dispatcher/state_purchase_view/36753233" TargetMode="External"/>
  <ns0:Relationship Id="rId657" Type="http://schemas.openxmlformats.org/officeDocument/2006/relationships/hyperlink" Target="https://my.zakupki.prom.ua/remote/dispatcher/state_contracting_view/13683027" TargetMode="External"/>
  <ns0:Relationship Id="rId658" Type="http://schemas.openxmlformats.org/officeDocument/2006/relationships/hyperlink" Target="https://my.zakupki.prom.ua/remote/dispatcher/state_purchase_view/38561174" TargetMode="External"/>
  <ns0:Relationship Id="rId659" Type="http://schemas.openxmlformats.org/officeDocument/2006/relationships/hyperlink" Target="https://my.zakupki.prom.ua/remote/dispatcher/state_contracting_view/14558693" TargetMode="External"/>
  <ns0:Relationship Id="rId660" Type="http://schemas.openxmlformats.org/officeDocument/2006/relationships/hyperlink" Target="https://my.zakupki.prom.ua/remote/dispatcher/state_purchase_view/38679609" TargetMode="External"/>
  <ns0:Relationship Id="rId661" Type="http://schemas.openxmlformats.org/officeDocument/2006/relationships/hyperlink" Target="https://my.zakupki.prom.ua/remote/dispatcher/state_contracting_view/14613882" TargetMode="External"/>
  <ns0:Relationship Id="rId662" Type="http://schemas.openxmlformats.org/officeDocument/2006/relationships/hyperlink" Target="https://my.zakupki.prom.ua/remote/dispatcher/state_purchase_view/38760013" TargetMode="External"/>
  <ns0:Relationship Id="rId663" Type="http://schemas.openxmlformats.org/officeDocument/2006/relationships/hyperlink" Target="https://my.zakupki.prom.ua/remote/dispatcher/state_contracting_view/14650976" TargetMode="External"/>
  <ns0:Relationship Id="rId664" Type="http://schemas.openxmlformats.org/officeDocument/2006/relationships/hyperlink" Target="https://my.zakupki.prom.ua/remote/dispatcher/state_purchase_view/38089077" TargetMode="External"/>
  <ns0:Relationship Id="rId665" Type="http://schemas.openxmlformats.org/officeDocument/2006/relationships/hyperlink" Target="https://my.zakupki.prom.ua/remote/dispatcher/state_contracting_view/14332123" TargetMode="External"/>
  <ns0:Relationship Id="rId666" Type="http://schemas.openxmlformats.org/officeDocument/2006/relationships/hyperlink" Target="https://my.zakupki.prom.ua/remote/dispatcher/state_purchase_view/39579100" TargetMode="External"/>
  <ns0:Relationship Id="rId667" Type="http://schemas.openxmlformats.org/officeDocument/2006/relationships/hyperlink" Target="https://my.zakupki.prom.ua/remote/dispatcher/state_contracting_view/15032096" TargetMode="External"/>
  <ns0:Relationship Id="rId668" Type="http://schemas.openxmlformats.org/officeDocument/2006/relationships/hyperlink" Target="https://my.zakupki.prom.ua/remote/dispatcher/state_purchase_view/39183840" TargetMode="External"/>
  <ns0:Relationship Id="rId669" Type="http://schemas.openxmlformats.org/officeDocument/2006/relationships/hyperlink" Target="https://my.zakupki.prom.ua/remote/dispatcher/state_contracting_view/14844642" TargetMode="External"/>
  <ns0:Relationship Id="rId670" Type="http://schemas.openxmlformats.org/officeDocument/2006/relationships/hyperlink" Target="https://my.zakupki.prom.ua/remote/dispatcher/state_purchase_view/39699355" TargetMode="External"/>
  <ns0:Relationship Id="rId671" Type="http://schemas.openxmlformats.org/officeDocument/2006/relationships/hyperlink" Target="https://my.zakupki.prom.ua/remote/dispatcher/state_contracting_view/15090415" TargetMode="External"/>
  <ns0:Relationship Id="rId672" Type="http://schemas.openxmlformats.org/officeDocument/2006/relationships/hyperlink" Target="https://my.zakupki.prom.ua/remote/dispatcher/state_purchase_view/39776634" TargetMode="External"/>
  <ns0:Relationship Id="rId673" Type="http://schemas.openxmlformats.org/officeDocument/2006/relationships/hyperlink" Target="https://my.zakupki.prom.ua/remote/dispatcher/state_contracting_view/15127842" TargetMode="External"/>
  <ns0:Relationship Id="rId674" Type="http://schemas.openxmlformats.org/officeDocument/2006/relationships/hyperlink" Target="https://my.zakupki.prom.ua/remote/dispatcher/state_purchase_view/33695913" TargetMode="External"/>
  <ns0:Relationship Id="rId675" Type="http://schemas.openxmlformats.org/officeDocument/2006/relationships/hyperlink" Target="https://my.zakupki.prom.ua/remote/dispatcher/state_contracting_view/12500863" TargetMode="External"/>
  <ns0:Relationship Id="rId676" Type="http://schemas.openxmlformats.org/officeDocument/2006/relationships/hyperlink" Target="https://my.zakupki.prom.ua/remote/dispatcher/state_purchase_view/35839332" TargetMode="External"/>
  <ns0:Relationship Id="rId677" Type="http://schemas.openxmlformats.org/officeDocument/2006/relationships/hyperlink" Target="https://my.zakupki.prom.ua/remote/dispatcher/state_contracting_view/13224334" TargetMode="External"/>
  <ns0:Relationship Id="rId678" Type="http://schemas.openxmlformats.org/officeDocument/2006/relationships/hyperlink" Target="https://my.zakupki.prom.ua/remote/dispatcher/state_purchase_view/35843246" TargetMode="External"/>
  <ns0:Relationship Id="rId679" Type="http://schemas.openxmlformats.org/officeDocument/2006/relationships/hyperlink" Target="https://my.zakupki.prom.ua/remote/dispatcher/state_contracting_view/13226173" TargetMode="External"/>
  <ns0:Relationship Id="rId680" Type="http://schemas.openxmlformats.org/officeDocument/2006/relationships/hyperlink" Target="https://my.zakupki.prom.ua/remote/dispatcher/state_purchase_view/34030612" TargetMode="External"/>
  <ns0:Relationship Id="rId681" Type="http://schemas.openxmlformats.org/officeDocument/2006/relationships/hyperlink" Target="https://my.zakupki.prom.ua/remote/dispatcher/state_contracting_view/12374056" TargetMode="External"/>
  <ns0:Relationship Id="rId682" Type="http://schemas.openxmlformats.org/officeDocument/2006/relationships/hyperlink" Target="https://my.zakupki.prom.ua/remote/dispatcher/state_purchase_view/34534858" TargetMode="External"/>
  <ns0:Relationship Id="rId683" Type="http://schemas.openxmlformats.org/officeDocument/2006/relationships/hyperlink" Target="https://my.zakupki.prom.ua/remote/dispatcher/state_contracting_view/12591151" TargetMode="External"/>
  <ns0:Relationship Id="rId684" Type="http://schemas.openxmlformats.org/officeDocument/2006/relationships/hyperlink" Target="https://my.zakupki.prom.ua/remote/dispatcher/state_purchase_view/35298056" TargetMode="External"/>
  <ns0:Relationship Id="rId685" Type="http://schemas.openxmlformats.org/officeDocument/2006/relationships/hyperlink" Target="https://my.zakupki.prom.ua/remote/dispatcher/state_contracting_view/12946924" TargetMode="External"/>
  <ns0:Relationship Id="rId686" Type="http://schemas.openxmlformats.org/officeDocument/2006/relationships/hyperlink" Target="https://my.zakupki.prom.ua/remote/dispatcher/state_purchase_view/34903463" TargetMode="External"/>
  <ns0:Relationship Id="rId687" Type="http://schemas.openxmlformats.org/officeDocument/2006/relationships/hyperlink" Target="https://my.zakupki.prom.ua/remote/dispatcher/state_contracting_view/12951878" TargetMode="External"/>
  <ns0:Relationship Id="rId688" Type="http://schemas.openxmlformats.org/officeDocument/2006/relationships/hyperlink" Target="https://my.zakupki.prom.ua/remote/dispatcher/state_purchase_view/36429653" TargetMode="External"/>
  <ns0:Relationship Id="rId689" Type="http://schemas.openxmlformats.org/officeDocument/2006/relationships/hyperlink" Target="https://my.zakupki.prom.ua/remote/dispatcher/state_contracting_view/13527088" TargetMode="External"/>
  <ns0:Relationship Id="rId690" Type="http://schemas.openxmlformats.org/officeDocument/2006/relationships/hyperlink" Target="https://my.zakupki.prom.ua/remote/dispatcher/state_purchase_view/36719998" TargetMode="External"/>
  <ns0:Relationship Id="rId691" Type="http://schemas.openxmlformats.org/officeDocument/2006/relationships/hyperlink" Target="https://my.zakupki.prom.ua/remote/dispatcher/state_contracting_view/13667552" TargetMode="External"/>
  <ns0:Relationship Id="rId692" Type="http://schemas.openxmlformats.org/officeDocument/2006/relationships/hyperlink" Target="https://my.zakupki.prom.ua/remote/dispatcher/state_purchase_view/36720604" TargetMode="External"/>
  <ns0:Relationship Id="rId693" Type="http://schemas.openxmlformats.org/officeDocument/2006/relationships/hyperlink" Target="https://my.zakupki.prom.ua/remote/dispatcher/state_contracting_view/13667786" TargetMode="External"/>
  <ns0:Relationship Id="rId694" Type="http://schemas.openxmlformats.org/officeDocument/2006/relationships/hyperlink" Target="https://my.zakupki.prom.ua/remote/dispatcher/state_purchase_view/36743395" TargetMode="External"/>
  <ns0:Relationship Id="rId695" Type="http://schemas.openxmlformats.org/officeDocument/2006/relationships/hyperlink" Target="https://my.zakupki.prom.ua/remote/dispatcher/state_contracting_view/13678480" TargetMode="External"/>
  <ns0:Relationship Id="rId696" Type="http://schemas.openxmlformats.org/officeDocument/2006/relationships/hyperlink" Target="https://my.zakupki.prom.ua/remote/dispatcher/state_purchase_view/36743569" TargetMode="External"/>
  <ns0:Relationship Id="rId697" Type="http://schemas.openxmlformats.org/officeDocument/2006/relationships/hyperlink" Target="https://my.zakupki.prom.ua/remote/dispatcher/state_contracting_view/13678479" TargetMode="External"/>
  <ns0:Relationship Id="rId698" Type="http://schemas.openxmlformats.org/officeDocument/2006/relationships/hyperlink" Target="https://my.zakupki.prom.ua/remote/dispatcher/state_purchase_view/36743641" TargetMode="External"/>
  <ns0:Relationship Id="rId699" Type="http://schemas.openxmlformats.org/officeDocument/2006/relationships/hyperlink" Target="https://my.zakupki.prom.ua/remote/dispatcher/state_contracting_view/13678592" TargetMode="External"/>
  <ns0:Relationship Id="rId700" Type="http://schemas.openxmlformats.org/officeDocument/2006/relationships/hyperlink" Target="https://my.zakupki.prom.ua/remote/dispatcher/state_purchase_view/36745496" TargetMode="External"/>
  <ns0:Relationship Id="rId701" Type="http://schemas.openxmlformats.org/officeDocument/2006/relationships/hyperlink" Target="https://my.zakupki.prom.ua/remote/dispatcher/state_contracting_view/13679521" TargetMode="External"/>
  <ns0:Relationship Id="rId702" Type="http://schemas.openxmlformats.org/officeDocument/2006/relationships/hyperlink" Target="https://my.zakupki.prom.ua/remote/dispatcher/state_purchase_view/36707314" TargetMode="External"/>
  <ns0:Relationship Id="rId703" Type="http://schemas.openxmlformats.org/officeDocument/2006/relationships/hyperlink" Target="https://my.zakupki.prom.ua/remote/dispatcher/state_contracting_view/13661844" TargetMode="External"/>
  <ns0:Relationship Id="rId704" Type="http://schemas.openxmlformats.org/officeDocument/2006/relationships/hyperlink" Target="https://my.zakupki.prom.ua/remote/dispatcher/state_purchase_view/36992446" TargetMode="External"/>
  <ns0:Relationship Id="rId705" Type="http://schemas.openxmlformats.org/officeDocument/2006/relationships/hyperlink" Target="https://my.zakupki.prom.ua/remote/dispatcher/state_contracting_view/13795840" TargetMode="External"/>
  <ns0:Relationship Id="rId706" Type="http://schemas.openxmlformats.org/officeDocument/2006/relationships/hyperlink" Target="https://my.zakupki.prom.ua/remote/dispatcher/state_purchase_view/37456609" TargetMode="External"/>
  <ns0:Relationship Id="rId707" Type="http://schemas.openxmlformats.org/officeDocument/2006/relationships/hyperlink" Target="https://my.zakupki.prom.ua/remote/dispatcher/state_contracting_view/14021008" TargetMode="External"/>
  <ns0:Relationship Id="rId708" Type="http://schemas.openxmlformats.org/officeDocument/2006/relationships/hyperlink" Target="https://my.zakupki.prom.ua/remote/dispatcher/state_purchase_view/37718975" TargetMode="External"/>
  <ns0:Relationship Id="rId709" Type="http://schemas.openxmlformats.org/officeDocument/2006/relationships/hyperlink" Target="https://my.zakupki.prom.ua/remote/dispatcher/state_contracting_view/14149380" TargetMode="External"/>
  <ns0:Relationship Id="rId710" Type="http://schemas.openxmlformats.org/officeDocument/2006/relationships/hyperlink" Target="https://my.zakupki.prom.ua/remote/dispatcher/state_purchase_view/37718783" TargetMode="External"/>
  <ns0:Relationship Id="rId711" Type="http://schemas.openxmlformats.org/officeDocument/2006/relationships/hyperlink" Target="https://my.zakupki.prom.ua/remote/dispatcher/state_contracting_view/14149325" TargetMode="External"/>
  <ns0:Relationship Id="rId712" Type="http://schemas.openxmlformats.org/officeDocument/2006/relationships/hyperlink" Target="https://my.zakupki.prom.ua/remote/dispatcher/state_purchase_view/36050846" TargetMode="External"/>
  <ns0:Relationship Id="rId713" Type="http://schemas.openxmlformats.org/officeDocument/2006/relationships/hyperlink" Target="https://my.zakupki.prom.ua/remote/dispatcher/state_contracting_view/13474498" TargetMode="External"/>
  <ns0:Relationship Id="rId714" Type="http://schemas.openxmlformats.org/officeDocument/2006/relationships/hyperlink" Target="https://my.zakupki.prom.ua/remote/dispatcher/state_purchase_view/35959299" TargetMode="External"/>
  <ns0:Relationship Id="rId715" Type="http://schemas.openxmlformats.org/officeDocument/2006/relationships/hyperlink" Target="https://my.zakupki.prom.ua/remote/dispatcher/state_contracting_view/13285942" TargetMode="External"/>
  <ns0:Relationship Id="rId716" Type="http://schemas.openxmlformats.org/officeDocument/2006/relationships/hyperlink" Target="https://my.zakupki.prom.ua/remote/dispatcher/state_purchase_view/36347350" TargetMode="External"/>
  <ns0:Relationship Id="rId717" Type="http://schemas.openxmlformats.org/officeDocument/2006/relationships/hyperlink" Target="https://my.zakupki.prom.ua/remote/dispatcher/state_contracting_view/13484991" TargetMode="External"/>
  <ns0:Relationship Id="rId718" Type="http://schemas.openxmlformats.org/officeDocument/2006/relationships/hyperlink" Target="https://my.zakupki.prom.ua/remote/dispatcher/state_purchase_view/36357362" TargetMode="External"/>
  <ns0:Relationship Id="rId719" Type="http://schemas.openxmlformats.org/officeDocument/2006/relationships/hyperlink" Target="https://my.zakupki.prom.ua/remote/dispatcher/state_contracting_view/13490263" TargetMode="External"/>
  <ns0:Relationship Id="rId720" Type="http://schemas.openxmlformats.org/officeDocument/2006/relationships/hyperlink" Target="https://my.zakupki.prom.ua/remote/dispatcher/state_purchase_view/39575758" TargetMode="External"/>
  <ns0:Relationship Id="rId721" Type="http://schemas.openxmlformats.org/officeDocument/2006/relationships/hyperlink" Target="https://my.zakupki.prom.ua/remote/dispatcher/state_contracting_view/15030348" TargetMode="External"/>
  <ns0:Relationship Id="rId722" Type="http://schemas.openxmlformats.org/officeDocument/2006/relationships/hyperlink" Target="https://my.zakupki.prom.ua/remote/dispatcher/state_purchase_view/39163476" TargetMode="External"/>
  <ns0:Relationship Id="rId723" Type="http://schemas.openxmlformats.org/officeDocument/2006/relationships/hyperlink" Target="https://my.zakupki.prom.ua/remote/dispatcher/state_contracting_view/14835317" TargetMode="External"/>
  <ns0:Relationship Id="rId724" Type="http://schemas.openxmlformats.org/officeDocument/2006/relationships/hyperlink" Target="https://my.zakupki.prom.ua/remote/dispatcher/state_purchase_view/38151839" TargetMode="External"/>
  <ns0:Relationship Id="rId725" Type="http://schemas.openxmlformats.org/officeDocument/2006/relationships/hyperlink" Target="https://my.zakupki.prom.ua/remote/dispatcher/state_contracting_view/14366754" TargetMode="External"/>
  <ns0:Relationship Id="rId726" Type="http://schemas.openxmlformats.org/officeDocument/2006/relationships/hyperlink" Target="https://my.zakupki.prom.ua/remote/dispatcher/state_purchase_view/38190422" TargetMode="External"/>
  <ns0:Relationship Id="rId727" Type="http://schemas.openxmlformats.org/officeDocument/2006/relationships/hyperlink" Target="https://my.zakupki.prom.ua/remote/dispatcher/state_contracting_view/14384501" TargetMode="External"/>
  <ns0:Relationship Id="rId728" Type="http://schemas.openxmlformats.org/officeDocument/2006/relationships/hyperlink" Target="https://my.zakupki.prom.ua/remote/dispatcher/state_purchase_view/38353488" TargetMode="External"/>
  <ns0:Relationship Id="rId729" Type="http://schemas.openxmlformats.org/officeDocument/2006/relationships/hyperlink" Target="https://my.zakupki.prom.ua/remote/dispatcher/state_contracting_view/14463216" TargetMode="External"/>
  <ns0:Relationship Id="rId730" Type="http://schemas.openxmlformats.org/officeDocument/2006/relationships/hyperlink" Target="https://my.zakupki.prom.ua/remote/dispatcher/state_purchase_view/38385985" TargetMode="External"/>
  <ns0:Relationship Id="rId731" Type="http://schemas.openxmlformats.org/officeDocument/2006/relationships/hyperlink" Target="https://my.zakupki.prom.ua/remote/dispatcher/state_contracting_view/14477543" TargetMode="External"/>
  <ns0:Relationship Id="rId732" Type="http://schemas.openxmlformats.org/officeDocument/2006/relationships/hyperlink" Target="https://my.zakupki.prom.ua/remote/dispatcher/state_purchase_view/38566982" TargetMode="External"/>
  <ns0:Relationship Id="rId733" Type="http://schemas.openxmlformats.org/officeDocument/2006/relationships/hyperlink" Target="https://my.zakupki.prom.ua/remote/dispatcher/state_contracting_view/14561405" TargetMode="External"/>
  <ns0:Relationship Id="rId734" Type="http://schemas.openxmlformats.org/officeDocument/2006/relationships/hyperlink" Target="https://my.zakupki.prom.ua/remote/dispatcher/state_purchase_view/39809860" TargetMode="External"/>
  <ns0:Relationship Id="rId735" Type="http://schemas.openxmlformats.org/officeDocument/2006/relationships/hyperlink" Target="https://my.zakupki.prom.ua/remote/dispatcher/state_contracting_view/15144350" TargetMode="External"/>
  <ns0:Relationship Id="rId736" Type="http://schemas.openxmlformats.org/officeDocument/2006/relationships/hyperlink" Target="https://my.zakupki.prom.ua/remote/dispatcher/state_purchase_view/39876484" TargetMode="External"/>
  <ns0:Relationship Id="rId737" Type="http://schemas.openxmlformats.org/officeDocument/2006/relationships/hyperlink" Target="https://my.zakupki.prom.ua/remote/dispatcher/state_contracting_view/15177584" TargetMode="External"/>
  <ns0:Relationship Id="rId738" Type="http://schemas.openxmlformats.org/officeDocument/2006/relationships/hyperlink" Target="https://my.zakupki.prom.ua/remote/dispatcher/state_purchase_view/39770795" TargetMode="External"/>
  <ns0:Relationship Id="rId739" Type="http://schemas.openxmlformats.org/officeDocument/2006/relationships/hyperlink" Target="https://my.zakupki.prom.ua/remote/dispatcher/state_contracting_view/15124714" TargetMode="External"/>
  <ns0:Relationship Id="rId740" Type="http://schemas.openxmlformats.org/officeDocument/2006/relationships/hyperlink" Target="https://my.zakupki.prom.ua/remote/dispatcher/state_purchase_view/35680517" TargetMode="External"/>
  <ns0:Relationship Id="rId741" Type="http://schemas.openxmlformats.org/officeDocument/2006/relationships/hyperlink" Target="https://my.zakupki.prom.ua/remote/dispatcher/state_contracting_view/13278221" TargetMode="External"/>
  <ns0:Relationship Id="rId742" Type="http://schemas.openxmlformats.org/officeDocument/2006/relationships/hyperlink" Target="https://my.zakupki.prom.ua/remote/dispatcher/state_purchase_view/35886055" TargetMode="External"/>
  <ns0:Relationship Id="rId743" Type="http://schemas.openxmlformats.org/officeDocument/2006/relationships/hyperlink" Target="https://my.zakupki.prom.ua/remote/dispatcher/state_contracting_view/13247990" TargetMode="External"/>
  <ns0:Relationship Id="rId744" Type="http://schemas.openxmlformats.org/officeDocument/2006/relationships/hyperlink" Target="https://my.zakupki.prom.ua/remote/dispatcher/state_purchase_view/35900177" TargetMode="External"/>
  <ns0:Relationship Id="rId745" Type="http://schemas.openxmlformats.org/officeDocument/2006/relationships/hyperlink" Target="https://my.zakupki.prom.ua/remote/dispatcher/state_contracting_view/13255099" TargetMode="External"/>
  <ns0:Relationship Id="rId746" Type="http://schemas.openxmlformats.org/officeDocument/2006/relationships/hyperlink" Target="https://my.zakupki.prom.ua/remote/dispatcher/state_purchase_view/35960629" TargetMode="External"/>
  <ns0:Relationship Id="rId747" Type="http://schemas.openxmlformats.org/officeDocument/2006/relationships/hyperlink" Target="https://my.zakupki.prom.ua/remote/dispatcher/state_contracting_view/13286582" TargetMode="External"/>
  <ns0:Relationship Id="rId748" Type="http://schemas.openxmlformats.org/officeDocument/2006/relationships/hyperlink" Target="https://my.zakupki.prom.ua/remote/dispatcher/state_purchase_view/35960670" TargetMode="External"/>
  <ns0:Relationship Id="rId749" Type="http://schemas.openxmlformats.org/officeDocument/2006/relationships/hyperlink" Target="https://my.zakupki.prom.ua/remote/dispatcher/state_contracting_view/13286652" TargetMode="External"/>
  <ns0:Relationship Id="rId750" Type="http://schemas.openxmlformats.org/officeDocument/2006/relationships/hyperlink" Target="https://my.zakupki.prom.ua/remote/dispatcher/state_purchase_view/35207267" TargetMode="External"/>
  <ns0:Relationship Id="rId751" Type="http://schemas.openxmlformats.org/officeDocument/2006/relationships/hyperlink" Target="https://my.zakupki.prom.ua/remote/dispatcher/state_contracting_view/12903557" TargetMode="External"/>
  <ns0:Relationship Id="rId752" Type="http://schemas.openxmlformats.org/officeDocument/2006/relationships/hyperlink" Target="https://my.zakupki.prom.ua/remote/dispatcher/state_purchase_view/35224716" TargetMode="External"/>
  <ns0:Relationship Id="rId753" Type="http://schemas.openxmlformats.org/officeDocument/2006/relationships/hyperlink" Target="https://my.zakupki.prom.ua/remote/dispatcher/state_contracting_view/12913696" TargetMode="External"/>
  <ns0:Relationship Id="rId754" Type="http://schemas.openxmlformats.org/officeDocument/2006/relationships/hyperlink" Target="https://my.zakupki.prom.ua/remote/dispatcher/state_purchase_view/34910571" TargetMode="External"/>
  <ns0:Relationship Id="rId755" Type="http://schemas.openxmlformats.org/officeDocument/2006/relationships/hyperlink" Target="https://my.zakupki.prom.ua/remote/dispatcher/state_contracting_view/12768531" TargetMode="External"/>
  <ns0:Relationship Id="rId756" Type="http://schemas.openxmlformats.org/officeDocument/2006/relationships/hyperlink" Target="https://my.zakupki.prom.ua/remote/dispatcher/state_purchase_view/33695003" TargetMode="External"/>
  <ns0:Relationship Id="rId757" Type="http://schemas.openxmlformats.org/officeDocument/2006/relationships/hyperlink" Target="https://my.zakupki.prom.ua/remote/dispatcher/state_contracting_view/12522621" TargetMode="External"/>
  <ns0:Relationship Id="rId758" Type="http://schemas.openxmlformats.org/officeDocument/2006/relationships/hyperlink" Target="https://my.zakupki.prom.ua/remote/dispatcher/state_purchase_view/35945490" TargetMode="External"/>
  <ns0:Relationship Id="rId759" Type="http://schemas.openxmlformats.org/officeDocument/2006/relationships/hyperlink" Target="https://my.zakupki.prom.ua/remote/dispatcher/state_contracting_view/13278467" TargetMode="External"/>
  <ns0:Relationship Id="rId760" Type="http://schemas.openxmlformats.org/officeDocument/2006/relationships/hyperlink" Target="https://my.zakupki.prom.ua/remote/dispatcher/state_purchase_view/35902232" TargetMode="External"/>
  <ns0:Relationship Id="rId761" Type="http://schemas.openxmlformats.org/officeDocument/2006/relationships/hyperlink" Target="https://my.zakupki.prom.ua/remote/dispatcher/state_contracting_view/13256427" TargetMode="External"/>
  <ns0:Relationship Id="rId762" Type="http://schemas.openxmlformats.org/officeDocument/2006/relationships/hyperlink" Target="https://my.zakupki.prom.ua/remote/dispatcher/state_purchase_view/35141746" TargetMode="External"/>
  <ns0:Relationship Id="rId763" Type="http://schemas.openxmlformats.org/officeDocument/2006/relationships/hyperlink" Target="https://my.zakupki.prom.ua/remote/dispatcher/state_contracting_view/12871865" TargetMode="External"/>
  <ns0:Relationship Id="rId764" Type="http://schemas.openxmlformats.org/officeDocument/2006/relationships/hyperlink" Target="https://my.zakupki.prom.ua/remote/dispatcher/state_purchase_view/34142633" TargetMode="External"/>
  <ns0:Relationship Id="rId765" Type="http://schemas.openxmlformats.org/officeDocument/2006/relationships/hyperlink" Target="https://my.zakupki.prom.ua/remote/dispatcher/state_contracting_view/12416040" TargetMode="External"/>
  <ns0:Relationship Id="rId766" Type="http://schemas.openxmlformats.org/officeDocument/2006/relationships/hyperlink" Target="https://my.zakupki.prom.ua/remote/dispatcher/state_purchase_view/33938496" TargetMode="External"/>
  <ns0:Relationship Id="rId767" Type="http://schemas.openxmlformats.org/officeDocument/2006/relationships/hyperlink" Target="https://my.zakupki.prom.ua/remote/dispatcher/state_contracting_view/12340148" TargetMode="External"/>
  <ns0:Relationship Id="rId768" Type="http://schemas.openxmlformats.org/officeDocument/2006/relationships/hyperlink" Target="https://my.zakupki.prom.ua/remote/dispatcher/state_purchase_view/35150667" TargetMode="External"/>
  <ns0:Relationship Id="rId769" Type="http://schemas.openxmlformats.org/officeDocument/2006/relationships/hyperlink" Target="https://my.zakupki.prom.ua/remote/dispatcher/state_contracting_view/13141299" TargetMode="External"/>
  <ns0:Relationship Id="rId770" Type="http://schemas.openxmlformats.org/officeDocument/2006/relationships/hyperlink" Target="https://my.zakupki.prom.ua/remote/dispatcher/state_purchase_view/35556318" TargetMode="External"/>
  <ns0:Relationship Id="rId771" Type="http://schemas.openxmlformats.org/officeDocument/2006/relationships/hyperlink" Target="https://my.zakupki.prom.ua/remote/dispatcher/state_contracting_view/13073440" TargetMode="External"/>
  <ns0:Relationship Id="rId772" Type="http://schemas.openxmlformats.org/officeDocument/2006/relationships/hyperlink" Target="https://my.zakupki.prom.ua/remote/dispatcher/state_purchase_view/35533305" TargetMode="External"/>
  <ns0:Relationship Id="rId773" Type="http://schemas.openxmlformats.org/officeDocument/2006/relationships/hyperlink" Target="https://my.zakupki.prom.ua/remote/dispatcher/state_contracting_view/13060689" TargetMode="External"/>
  <ns0:Relationship Id="rId774" Type="http://schemas.openxmlformats.org/officeDocument/2006/relationships/hyperlink" Target="https://my.zakupki.prom.ua/remote/dispatcher/state_purchase_view/34277956" TargetMode="External"/>
  <ns0:Relationship Id="rId775" Type="http://schemas.openxmlformats.org/officeDocument/2006/relationships/hyperlink" Target="https://my.zakupki.prom.ua/remote/dispatcher/state_contracting_view/12473410" TargetMode="External"/>
  <ns0:Relationship Id="rId776" Type="http://schemas.openxmlformats.org/officeDocument/2006/relationships/hyperlink" Target="https://my.zakupki.prom.ua/remote/dispatcher/state_purchase_view/34909804" TargetMode="External"/>
  <ns0:Relationship Id="rId777" Type="http://schemas.openxmlformats.org/officeDocument/2006/relationships/hyperlink" Target="https://my.zakupki.prom.ua/remote/dispatcher/state_contracting_view/12768466" TargetMode="External"/>
  <ns0:Relationship Id="rId778" Type="http://schemas.openxmlformats.org/officeDocument/2006/relationships/hyperlink" Target="https://my.zakupki.prom.ua/remote/dispatcher/state_purchase_view/35623151" TargetMode="External"/>
  <ns0:Relationship Id="rId779" Type="http://schemas.openxmlformats.org/officeDocument/2006/relationships/hyperlink" Target="https://my.zakupki.prom.ua/remote/dispatcher/state_contracting_view/13109345" TargetMode="External"/>
  <ns0:Relationship Id="rId780" Type="http://schemas.openxmlformats.org/officeDocument/2006/relationships/hyperlink" Target="https://my.zakupki.prom.ua/remote/dispatcher/state_purchase_view/35434844" TargetMode="External"/>
  <ns0:Relationship Id="rId781" Type="http://schemas.openxmlformats.org/officeDocument/2006/relationships/hyperlink" Target="https://my.zakupki.prom.ua/remote/dispatcher/state_contracting_view/13140089" TargetMode="External"/>
  <ns0:Relationship Id="rId782" Type="http://schemas.openxmlformats.org/officeDocument/2006/relationships/hyperlink" Target="https://my.zakupki.prom.ua/remote/dispatcher/state_purchase_view/35667477" TargetMode="External"/>
  <ns0:Relationship Id="rId783" Type="http://schemas.openxmlformats.org/officeDocument/2006/relationships/hyperlink" Target="https://my.zakupki.prom.ua/remote/dispatcher/state_contracting_view/13133213" TargetMode="External"/>
  <ns0:Relationship Id="rId784" Type="http://schemas.openxmlformats.org/officeDocument/2006/relationships/hyperlink" Target="https://my.zakupki.prom.ua/remote/dispatcher/state_purchase_view/35737309" TargetMode="External"/>
  <ns0:Relationship Id="rId785" Type="http://schemas.openxmlformats.org/officeDocument/2006/relationships/hyperlink" Target="https://my.zakupki.prom.ua/remote/dispatcher/state_contracting_view/13170620" TargetMode="External"/>
  <ns0:Relationship Id="rId786" Type="http://schemas.openxmlformats.org/officeDocument/2006/relationships/hyperlink" Target="https://my.zakupki.prom.ua/remote/dispatcher/state_purchase_view/36748137" TargetMode="External"/>
  <ns0:Relationship Id="rId787" Type="http://schemas.openxmlformats.org/officeDocument/2006/relationships/hyperlink" Target="https://my.zakupki.prom.ua/remote/dispatcher/state_contracting_view/13680602" TargetMode="External"/>
  <ns0:Relationship Id="rId788" Type="http://schemas.openxmlformats.org/officeDocument/2006/relationships/hyperlink" Target="https://my.zakupki.prom.ua/remote/dispatcher/state_purchase_view/36748266" TargetMode="External"/>
  <ns0:Relationship Id="rId789" Type="http://schemas.openxmlformats.org/officeDocument/2006/relationships/hyperlink" Target="https://my.zakupki.prom.ua/remote/dispatcher/state_contracting_view/13681619" TargetMode="External"/>
  <ns0:Relationship Id="rId790" Type="http://schemas.openxmlformats.org/officeDocument/2006/relationships/hyperlink" Target="https://my.zakupki.prom.ua/remote/dispatcher/state_purchase_view/36752785" TargetMode="External"/>
  <ns0:Relationship Id="rId791" Type="http://schemas.openxmlformats.org/officeDocument/2006/relationships/hyperlink" Target="https://my.zakupki.prom.ua/remote/dispatcher/state_contracting_view/13682815" TargetMode="External"/>
  <ns0:Relationship Id="rId792" Type="http://schemas.openxmlformats.org/officeDocument/2006/relationships/hyperlink" Target="https://my.zakupki.prom.ua/remote/dispatcher/state_purchase_view/37882209" TargetMode="External"/>
  <ns0:Relationship Id="rId793" Type="http://schemas.openxmlformats.org/officeDocument/2006/relationships/hyperlink" Target="https://my.zakupki.prom.ua/remote/dispatcher/state_contracting_view/14229222" TargetMode="External"/>
  <ns0:Relationship Id="rId794" Type="http://schemas.openxmlformats.org/officeDocument/2006/relationships/hyperlink" Target="https://my.zakupki.prom.ua/remote/dispatcher/state_purchase_view/37856361" TargetMode="External"/>
  <ns0:Relationship Id="rId795" Type="http://schemas.openxmlformats.org/officeDocument/2006/relationships/hyperlink" Target="https://my.zakupki.prom.ua/remote/dispatcher/state_contracting_view/14217477" TargetMode="External"/>
  <ns0:Relationship Id="rId796" Type="http://schemas.openxmlformats.org/officeDocument/2006/relationships/hyperlink" Target="https://my.zakupki.prom.ua/remote/dispatcher/state_purchase_view/38561709" TargetMode="External"/>
  <ns0:Relationship Id="rId797" Type="http://schemas.openxmlformats.org/officeDocument/2006/relationships/hyperlink" Target="https://my.zakupki.prom.ua/remote/dispatcher/state_contracting_view/14558901" TargetMode="External"/>
  <ns0:Relationship Id="rId798" Type="http://schemas.openxmlformats.org/officeDocument/2006/relationships/hyperlink" Target="https://my.zakupki.prom.ua/remote/dispatcher/state_purchase_view/38258732" TargetMode="External"/>
  <ns0:Relationship Id="rId799" Type="http://schemas.openxmlformats.org/officeDocument/2006/relationships/hyperlink" Target="https://my.zakupki.prom.ua/remote/dispatcher/state_purchase_lot_view/774846" TargetMode="External"/>
  <ns0:Relationship Id="rId800" Type="http://schemas.openxmlformats.org/officeDocument/2006/relationships/hyperlink" Target="https://my.zakupki.prom.ua/remote/dispatcher/state_contracting_view/14559837" TargetMode="External"/>
  <ns0:Relationship Id="rId801" Type="http://schemas.openxmlformats.org/officeDocument/2006/relationships/hyperlink" Target="https://my.zakupki.prom.ua/remote/dispatcher/state_purchase_view/39147007" TargetMode="External"/>
  <ns0:Relationship Id="rId802" Type="http://schemas.openxmlformats.org/officeDocument/2006/relationships/hyperlink" Target="https://my.zakupki.prom.ua/remote/dispatcher/state_contracting_view/14827699" TargetMode="External"/>
  <ns0:Relationship Id="rId803" Type="http://schemas.openxmlformats.org/officeDocument/2006/relationships/hyperlink" Target="https://my.zakupki.prom.ua/remote/dispatcher/state_purchase_view/39743994" TargetMode="External"/>
  <ns0:Relationship Id="rId804" Type="http://schemas.openxmlformats.org/officeDocument/2006/relationships/hyperlink" Target="https://my.zakupki.prom.ua/remote/dispatcher/state_contracting_view/15111650" TargetMode="External"/>
  <ns0:Relationship Id="rId805" Type="http://schemas.openxmlformats.org/officeDocument/2006/relationships/hyperlink" Target="https://my.zakupki.prom.ua/remote/dispatcher/state_purchase_view/35807189" TargetMode="External"/>
  <ns0:Relationship Id="rId806" Type="http://schemas.openxmlformats.org/officeDocument/2006/relationships/hyperlink" Target="https://my.zakupki.prom.ua/remote/dispatcher/state_contracting_view/13208456" TargetMode="External"/>
  <ns0:Relationship Id="rId807" Type="http://schemas.openxmlformats.org/officeDocument/2006/relationships/hyperlink" Target="https://my.zakupki.prom.ua/remote/dispatcher/state_purchase_view/38151036" TargetMode="External"/>
  <ns0:Relationship Id="rId808" Type="http://schemas.openxmlformats.org/officeDocument/2006/relationships/hyperlink" Target="https://my.zakupki.prom.ua/remote/dispatcher/state_contracting_view/14366606" TargetMode="External"/>
  <ns0:Relationship Id="rId809" Type="http://schemas.openxmlformats.org/officeDocument/2006/relationships/hyperlink" Target="https://my.zakupki.prom.ua/remote/dispatcher/state_purchase_view/39030673" TargetMode="External"/>
  <ns0:Relationship Id="rId810" Type="http://schemas.openxmlformats.org/officeDocument/2006/relationships/hyperlink" Target="https://my.zakupki.prom.ua/remote/dispatcher/state_contracting_view/14774477" TargetMode="External"/>
  <ns0:Relationship Id="rId811" Type="http://schemas.openxmlformats.org/officeDocument/2006/relationships/hyperlink" Target="https://my.zakupki.prom.ua/remote/dispatcher/state_purchase_view/37957457" TargetMode="External"/>
  <ns0:Relationship Id="rId812" Type="http://schemas.openxmlformats.org/officeDocument/2006/relationships/hyperlink" Target="https://my.zakupki.prom.ua/remote/dispatcher/state_contracting_view/14265978" TargetMode="External"/>
  <ns0:Relationship Id="rId813" Type="http://schemas.openxmlformats.org/officeDocument/2006/relationships/hyperlink" Target="https://my.zakupki.prom.ua/remote/dispatcher/state_purchase_view/36894422" TargetMode="External"/>
  <ns0:Relationship Id="rId814" Type="http://schemas.openxmlformats.org/officeDocument/2006/relationships/hyperlink" Target="https://my.zakupki.prom.ua/remote/dispatcher/state_contracting_view/13749429" TargetMode="External"/>
  <ns0:Relationship Id="rId815" Type="http://schemas.openxmlformats.org/officeDocument/2006/relationships/hyperlink" Target="https://my.zakupki.prom.ua/remote/dispatcher/state_purchase_view/36969792" TargetMode="External"/>
  <ns0:Relationship Id="rId816" Type="http://schemas.openxmlformats.org/officeDocument/2006/relationships/hyperlink" Target="https://my.zakupki.prom.ua/remote/dispatcher/state_contracting_view/13785199" TargetMode="External"/>
  <ns0:Relationship Id="rId817" Type="http://schemas.openxmlformats.org/officeDocument/2006/relationships/hyperlink" Target="https://my.zakupki.prom.ua/remote/dispatcher/state_purchase_view/37022826" TargetMode="External"/>
  <ns0:Relationship Id="rId818" Type="http://schemas.openxmlformats.org/officeDocument/2006/relationships/hyperlink" Target="https://my.zakupki.prom.ua/remote/dispatcher/state_contracting_view/13810425" TargetMode="External"/>
  <ns0:Relationship Id="rId819" Type="http://schemas.openxmlformats.org/officeDocument/2006/relationships/hyperlink" Target="https://my.zakupki.prom.ua/remote/dispatcher/state_purchase_view/37070709" TargetMode="External"/>
  <ns0:Relationship Id="rId820" Type="http://schemas.openxmlformats.org/officeDocument/2006/relationships/hyperlink" Target="https://my.zakupki.prom.ua/remote/dispatcher/state_contracting_view/13833213" TargetMode="External"/>
  <ns0:Relationship Id="rId821" Type="http://schemas.openxmlformats.org/officeDocument/2006/relationships/hyperlink" Target="https://my.zakupki.prom.ua/remote/dispatcher/state_purchase_view/37720448" TargetMode="External"/>
  <ns0:Relationship Id="rId822" Type="http://schemas.openxmlformats.org/officeDocument/2006/relationships/hyperlink" Target="https://my.zakupki.prom.ua/remote/dispatcher/state_contracting_view/14150251" TargetMode="External"/>
  <ns0:Relationship Id="rId823" Type="http://schemas.openxmlformats.org/officeDocument/2006/relationships/hyperlink" Target="https://my.zakupki.prom.ua/remote/dispatcher/state_purchase_view/36673306" TargetMode="External"/>
  <ns0:Relationship Id="rId824" Type="http://schemas.openxmlformats.org/officeDocument/2006/relationships/hyperlink" Target="https://my.zakupki.prom.ua/remote/dispatcher/state_contracting_view/13645919" TargetMode="External"/>
  <ns0:Relationship Id="rId825" Type="http://schemas.openxmlformats.org/officeDocument/2006/relationships/hyperlink" Target="https://my.zakupki.prom.ua/remote/dispatcher/state_purchase_view/36324767" TargetMode="External"/>
  <ns0:Relationship Id="rId826" Type="http://schemas.openxmlformats.org/officeDocument/2006/relationships/hyperlink" Target="https://my.zakupki.prom.ua/remote/dispatcher/state_contracting_view/13473784" TargetMode="External"/>
  <ns0:Relationship Id="rId827" Type="http://schemas.openxmlformats.org/officeDocument/2006/relationships/hyperlink" Target="https://my.zakupki.prom.ua/remote/dispatcher/state_purchase_view/36362894" TargetMode="External"/>
  <ns0:Relationship Id="rId828" Type="http://schemas.openxmlformats.org/officeDocument/2006/relationships/hyperlink" Target="https://my.zakupki.prom.ua/remote/dispatcher/state_contracting_view/13493093" TargetMode="External"/>
  <ns0:Relationship Id="rId829" Type="http://schemas.openxmlformats.org/officeDocument/2006/relationships/hyperlink" Target="https://my.zakupki.prom.ua/remote/dispatcher/state_purchase_view/36166776" TargetMode="External"/>
  <ns0:Relationship Id="rId830" Type="http://schemas.openxmlformats.org/officeDocument/2006/relationships/hyperlink" Target="https://my.zakupki.prom.ua/remote/dispatcher/state_contracting_view/13392539" TargetMode="External"/>
  <ns0:Relationship Id="rId831" Type="http://schemas.openxmlformats.org/officeDocument/2006/relationships/hyperlink" Target="https://my.zakupki.prom.ua/remote/dispatcher/state_purchase_view/36224150" TargetMode="External"/>
  <ns0:Relationship Id="rId832" Type="http://schemas.openxmlformats.org/officeDocument/2006/relationships/hyperlink" Target="https://my.zakupki.prom.ua/remote/dispatcher/state_contracting_view/13421882" TargetMode="External"/>
  <ns0:Relationship Id="rId833" Type="http://schemas.openxmlformats.org/officeDocument/2006/relationships/hyperlink" Target="https://my.zakupki.prom.ua/remote/dispatcher/state_purchase_view/36224359" TargetMode="External"/>
  <ns0:Relationship Id="rId834" Type="http://schemas.openxmlformats.org/officeDocument/2006/relationships/hyperlink" Target="https://my.zakupki.prom.ua/remote/dispatcher/state_contracting_view/13421994" TargetMode="External"/>
  <ns0:Relationship Id="rId835" Type="http://schemas.openxmlformats.org/officeDocument/2006/relationships/hyperlink" Target="https://my.zakupki.prom.ua/remote/dispatcher/state_purchase_view/36224664" TargetMode="External"/>
  <ns0:Relationship Id="rId836" Type="http://schemas.openxmlformats.org/officeDocument/2006/relationships/hyperlink" Target="https://my.zakupki.prom.ua/remote/dispatcher/state_contracting_view/13422119" TargetMode="External"/>
  <ns0:Relationship Id="rId837" Type="http://schemas.openxmlformats.org/officeDocument/2006/relationships/hyperlink" Target="https://my.zakupki.prom.ua/remote/dispatcher/state_purchase_view/35855199" TargetMode="External"/>
  <ns0:Relationship Id="rId838" Type="http://schemas.openxmlformats.org/officeDocument/2006/relationships/hyperlink" Target="https://my.zakupki.prom.ua/remote/dispatcher/state_contracting_view/13232440" TargetMode="External"/>
  <ns0:Relationship Id="rId839" Type="http://schemas.openxmlformats.org/officeDocument/2006/relationships/hyperlink" Target="https://my.zakupki.prom.ua/remote/dispatcher/state_purchase_view/35947623" TargetMode="External"/>
  <ns0:Relationship Id="rId840" Type="http://schemas.openxmlformats.org/officeDocument/2006/relationships/hyperlink" Target="https://my.zakupki.prom.ua/remote/dispatcher/state_contracting_view/13279558" TargetMode="External"/>
  <ns0:Relationship Id="rId841" Type="http://schemas.openxmlformats.org/officeDocument/2006/relationships/hyperlink" Target="https://my.zakupki.prom.ua/remote/dispatcher/state_purchase_view/35625637" TargetMode="External"/>
  <ns0:Relationship Id="rId842" Type="http://schemas.openxmlformats.org/officeDocument/2006/relationships/hyperlink" Target="https://my.zakupki.prom.ua/remote/dispatcher/state_contracting_view/13110316" TargetMode="External"/>
  <ns0:Relationship Id="rId843" Type="http://schemas.openxmlformats.org/officeDocument/2006/relationships/hyperlink" Target="https://my.zakupki.prom.ua/remote/dispatcher/state_purchase_view/34783106" TargetMode="External"/>
  <ns0:Relationship Id="rId844" Type="http://schemas.openxmlformats.org/officeDocument/2006/relationships/hyperlink" Target="https://my.zakupki.prom.ua/remote/dispatcher/state_contracting_view/12703753" TargetMode="External"/>
  <ns0:Relationship Id="rId845" Type="http://schemas.openxmlformats.org/officeDocument/2006/relationships/hyperlink" Target="https://my.zakupki.prom.ua/remote/dispatcher/state_purchase_view/34809891" TargetMode="External"/>
  <ns0:Relationship Id="rId846" Type="http://schemas.openxmlformats.org/officeDocument/2006/relationships/hyperlink" Target="https://my.zakupki.prom.ua/remote/dispatcher/state_contracting_view/12719396" TargetMode="External"/>
  <ns0:Relationship Id="rId847" Type="http://schemas.openxmlformats.org/officeDocument/2006/relationships/hyperlink" Target="https://my.zakupki.prom.ua/remote/dispatcher/state_purchase_view/35196939" TargetMode="External"/>
  <ns0:Relationship Id="rId848" Type="http://schemas.openxmlformats.org/officeDocument/2006/relationships/hyperlink" Target="https://my.zakupki.prom.ua/remote/dispatcher/state_contracting_view/12902101" TargetMode="External"/>
  <ns0:Relationship Id="rId849" Type="http://schemas.openxmlformats.org/officeDocument/2006/relationships/hyperlink" Target="https://my.zakupki.prom.ua/remote/dispatcher/state_purchase_view/35052054" TargetMode="External"/>
  <ns0:Relationship Id="rId850" Type="http://schemas.openxmlformats.org/officeDocument/2006/relationships/hyperlink" Target="https://my.zakupki.prom.ua/remote/dispatcher/state_contracting_view/12840915" TargetMode="External"/>
  <ns0:Relationship Id="rId851" Type="http://schemas.openxmlformats.org/officeDocument/2006/relationships/hyperlink" Target="https://my.zakupki.prom.ua/remote/dispatcher/state_purchase_view/35001977" TargetMode="External"/>
  <ns0:Relationship Id="rId852" Type="http://schemas.openxmlformats.org/officeDocument/2006/relationships/hyperlink" Target="https://my.zakupki.prom.ua/remote/dispatcher/state_contracting_view/12816161" TargetMode="External"/>
  <ns0:Relationship Id="rId853" Type="http://schemas.openxmlformats.org/officeDocument/2006/relationships/hyperlink" Target="https://my.zakupki.prom.ua/remote/dispatcher/state_purchase_view/35139420" TargetMode="External"/>
  <ns0:Relationship Id="rId854" Type="http://schemas.openxmlformats.org/officeDocument/2006/relationships/hyperlink" Target="https://my.zakupki.prom.ua/remote/dispatcher/state_contracting_view/12871072" TargetMode="External"/>
  <ns0:Relationship Id="rId855" Type="http://schemas.openxmlformats.org/officeDocument/2006/relationships/hyperlink" Target="https://my.zakupki.prom.ua/remote/dispatcher/state_purchase_view/34512377" TargetMode="External"/>
  <ns0:Relationship Id="rId856" Type="http://schemas.openxmlformats.org/officeDocument/2006/relationships/hyperlink" Target="https://my.zakupki.prom.ua/remote/dispatcher/state_contracting_view/12577414" TargetMode="External"/>
  <ns0:Relationship Id="rId857" Type="http://schemas.openxmlformats.org/officeDocument/2006/relationships/hyperlink" Target="https://my.zakupki.prom.ua/remote/dispatcher/state_purchase_view/35668026" TargetMode="External"/>
  <ns0:Relationship Id="rId858" Type="http://schemas.openxmlformats.org/officeDocument/2006/relationships/hyperlink" Target="https://my.zakupki.prom.ua/remote/dispatcher/state_contracting_view/13133627" TargetMode="External"/>
  <ns0:Relationship Id="rId859" Type="http://schemas.openxmlformats.org/officeDocument/2006/relationships/hyperlink" Target="https://my.zakupki.prom.ua/remote/dispatcher/state_purchase_view/36224856" TargetMode="External"/>
  <ns0:Relationship Id="rId860" Type="http://schemas.openxmlformats.org/officeDocument/2006/relationships/hyperlink" Target="https://my.zakupki.prom.ua/remote/dispatcher/state_contracting_view/13422162" TargetMode="External"/>
  <ns0:Relationship Id="rId861" Type="http://schemas.openxmlformats.org/officeDocument/2006/relationships/hyperlink" Target="https://my.zakupki.prom.ua/remote/dispatcher/state_purchase_view/36224285" TargetMode="External"/>
  <ns0:Relationship Id="rId862" Type="http://schemas.openxmlformats.org/officeDocument/2006/relationships/hyperlink" Target="https://my.zakupki.prom.ua/remote/dispatcher/state_contracting_view/13421850" TargetMode="External"/>
  <ns0:Relationship Id="rId863" Type="http://schemas.openxmlformats.org/officeDocument/2006/relationships/hyperlink" Target="https://my.zakupki.prom.ua/remote/dispatcher/state_purchase_view/35790640" TargetMode="External"/>
  <ns0:Relationship Id="rId864" Type="http://schemas.openxmlformats.org/officeDocument/2006/relationships/hyperlink" Target="https://my.zakupki.prom.ua/remote/dispatcher/state_contracting_view/13201164" TargetMode="External"/>
  <ns0:Relationship Id="rId865" Type="http://schemas.openxmlformats.org/officeDocument/2006/relationships/hyperlink" Target="https://my.zakupki.prom.ua/remote/dispatcher/state_purchase_view/35383209" TargetMode="External"/>
  <ns0:Relationship Id="rId866" Type="http://schemas.openxmlformats.org/officeDocument/2006/relationships/hyperlink" Target="https://my.zakupki.prom.ua/remote/dispatcher/state_contracting_view/12988107" TargetMode="External"/>
  <ns0:Relationship Id="rId867" Type="http://schemas.openxmlformats.org/officeDocument/2006/relationships/hyperlink" Target="https://my.zakupki.prom.ua/remote/dispatcher/state_purchase_view/35384520" TargetMode="External"/>
  <ns0:Relationship Id="rId868" Type="http://schemas.openxmlformats.org/officeDocument/2006/relationships/hyperlink" Target="https://my.zakupki.prom.ua/remote/dispatcher/state_contracting_view/12987661" TargetMode="External"/>
  <ns0:Relationship Id="rId869" Type="http://schemas.openxmlformats.org/officeDocument/2006/relationships/hyperlink" Target="https://my.zakupki.prom.ua/remote/dispatcher/state_purchase_view/35416949" TargetMode="External"/>
  <ns0:Relationship Id="rId870" Type="http://schemas.openxmlformats.org/officeDocument/2006/relationships/hyperlink" Target="https://my.zakupki.prom.ua/remote/dispatcher/state_contracting_view/13013254" TargetMode="External"/>
  <ns0:Relationship Id="rId871" Type="http://schemas.openxmlformats.org/officeDocument/2006/relationships/hyperlink" Target="https://my.zakupki.prom.ua/remote/dispatcher/state_purchase_view/35705145" TargetMode="External"/>
  <ns0:Relationship Id="rId872" Type="http://schemas.openxmlformats.org/officeDocument/2006/relationships/hyperlink" Target="https://my.zakupki.prom.ua/remote/dispatcher/state_contracting_view/13153700" TargetMode="External"/>
  <ns0:Relationship Id="rId873" Type="http://schemas.openxmlformats.org/officeDocument/2006/relationships/hyperlink" Target="https://my.zakupki.prom.ua/remote/dispatcher/state_purchase_view/35432498" TargetMode="External"/>
  <ns0:Relationship Id="rId874" Type="http://schemas.openxmlformats.org/officeDocument/2006/relationships/hyperlink" Target="https://my.zakupki.prom.ua/remote/dispatcher/state_contracting_view/13109200" TargetMode="External"/>
  <ns0:Relationship Id="rId875" Type="http://schemas.openxmlformats.org/officeDocument/2006/relationships/hyperlink" Target="https://my.zakupki.prom.ua/remote/dispatcher/state_purchase_view/35578942" TargetMode="External"/>
  <ns0:Relationship Id="rId876" Type="http://schemas.openxmlformats.org/officeDocument/2006/relationships/hyperlink" Target="https://my.zakupki.prom.ua/remote/dispatcher/state_contracting_view/13085306" TargetMode="External"/>
  <ns0:Relationship Id="rId877" Type="http://schemas.openxmlformats.org/officeDocument/2006/relationships/hyperlink" Target="https://my.zakupki.prom.ua/remote/dispatcher/state_purchase_view/35577811" TargetMode="External"/>
  <ns0:Relationship Id="rId878" Type="http://schemas.openxmlformats.org/officeDocument/2006/relationships/hyperlink" Target="https://my.zakupki.prom.ua/remote/dispatcher/state_contracting_view/13084624" TargetMode="External"/>
  <ns0:Relationship Id="rId879" Type="http://schemas.openxmlformats.org/officeDocument/2006/relationships/hyperlink" Target="https://my.zakupki.prom.ua/remote/dispatcher/state_purchase_view/35590132" TargetMode="External"/>
  <ns0:Relationship Id="rId880" Type="http://schemas.openxmlformats.org/officeDocument/2006/relationships/hyperlink" Target="https://my.zakupki.prom.ua/remote/dispatcher/state_contracting_view/13091131" TargetMode="External"/>
  <ns0:Relationship Id="rId881" Type="http://schemas.openxmlformats.org/officeDocument/2006/relationships/hyperlink" Target="https://my.zakupki.prom.ua/remote/dispatcher/state_purchase_view/39695149" TargetMode="External"/>
  <ns0:Relationship Id="rId882" Type="http://schemas.openxmlformats.org/officeDocument/2006/relationships/hyperlink" Target="https://my.zakupki.prom.ua/remote/dispatcher/state_contracting_view/15088368" TargetMode="External"/>
  <ns0:Relationship Id="rId883" Type="http://schemas.openxmlformats.org/officeDocument/2006/relationships/hyperlink" Target="https://my.zakupki.prom.ua/remote/dispatcher/state_purchase_view/39160051" TargetMode="External"/>
  <ns0:Relationship Id="rId884" Type="http://schemas.openxmlformats.org/officeDocument/2006/relationships/hyperlink" Target="https://my.zakupki.prom.ua/remote/dispatcher/state_contracting_view/14833629" TargetMode="External"/>
  <ns0:Relationship Id="rId885" Type="http://schemas.openxmlformats.org/officeDocument/2006/relationships/hyperlink" Target="https://my.zakupki.prom.ua/remote/dispatcher/state_purchase_view/39119871" TargetMode="External"/>
  <ns0:Relationship Id="rId886" Type="http://schemas.openxmlformats.org/officeDocument/2006/relationships/hyperlink" Target="https://my.zakupki.prom.ua/remote/dispatcher/state_contracting_view/14815229" TargetMode="External"/>
  <ns0:Relationship Id="rId887" Type="http://schemas.openxmlformats.org/officeDocument/2006/relationships/hyperlink" Target="https://my.zakupki.prom.ua/remote/dispatcher/state_purchase_view/39283096" TargetMode="External"/>
  <ns0:Relationship Id="rId888" Type="http://schemas.openxmlformats.org/officeDocument/2006/relationships/hyperlink" Target="https://my.zakupki.prom.ua/remote/dispatcher/state_contracting_view/14891030" TargetMode="External"/>
  <ns0:Relationship Id="rId889" Type="http://schemas.openxmlformats.org/officeDocument/2006/relationships/hyperlink" Target="https://my.zakupki.prom.ua/remote/dispatcher/state_purchase_view/37953719" TargetMode="External"/>
  <ns0:Relationship Id="rId890" Type="http://schemas.openxmlformats.org/officeDocument/2006/relationships/hyperlink" Target="https://my.zakupki.prom.ua/remote/dispatcher/state_contracting_view/14264371" TargetMode="External"/>
  <ns0:Relationship Id="rId891" Type="http://schemas.openxmlformats.org/officeDocument/2006/relationships/hyperlink" Target="https://my.zakupki.prom.ua/remote/dispatcher/state_purchase_view/39827129" TargetMode="External"/>
  <ns0:Relationship Id="rId892" Type="http://schemas.openxmlformats.org/officeDocument/2006/relationships/hyperlink" Target="https://my.zakupki.prom.ua/remote/dispatcher/state_contracting_view/15152569" TargetMode="External"/>
  <ns0:Relationship Id="rId893" Type="http://schemas.openxmlformats.org/officeDocument/2006/relationships/hyperlink" Target="https://my.zakupki.prom.ua/remote/dispatcher/state_purchase_view/38261057" TargetMode="External"/>
  <ns0:Relationship Id="rId894" Type="http://schemas.openxmlformats.org/officeDocument/2006/relationships/hyperlink" Target="https://my.zakupki.prom.ua/remote/dispatcher/state_contracting_view/14418273" TargetMode="External"/>
  <ns0:Relationship Id="rId895" Type="http://schemas.openxmlformats.org/officeDocument/2006/relationships/hyperlink" Target="https://my.zakupki.prom.ua/remote/dispatcher/state_purchase_view/38647029" TargetMode="External"/>
  <ns0:Relationship Id="rId896" Type="http://schemas.openxmlformats.org/officeDocument/2006/relationships/hyperlink" Target="https://my.zakupki.prom.ua/remote/dispatcher/state_contracting_view/14598740" TargetMode="External"/>
  <ns0:Relationship Id="rId897" Type="http://schemas.openxmlformats.org/officeDocument/2006/relationships/hyperlink" Target="https://my.zakupki.prom.ua/remote/dispatcher/state_purchase_view/38647519" TargetMode="External"/>
  <ns0:Relationship Id="rId898" Type="http://schemas.openxmlformats.org/officeDocument/2006/relationships/hyperlink" Target="https://my.zakupki.prom.ua/remote/dispatcher/state_contracting_view/14598742" TargetMode="External"/>
  <ns0:Relationship Id="rId899" Type="http://schemas.openxmlformats.org/officeDocument/2006/relationships/hyperlink" Target="https://my.zakupki.prom.ua/remote/dispatcher/state_purchase_view/38258199" TargetMode="External"/>
  <ns0:Relationship Id="rId900" Type="http://schemas.openxmlformats.org/officeDocument/2006/relationships/hyperlink" Target="https://my.zakupki.prom.ua/remote/dispatcher/state_purchase_lot_view/774804" TargetMode="External"/>
  <ns0:Relationship Id="rId901" Type="http://schemas.openxmlformats.org/officeDocument/2006/relationships/hyperlink" Target="https://my.zakupki.prom.ua/remote/dispatcher/state_contracting_view/14559594" TargetMode="External"/>
  <ns0:Relationship Id="rId902" Type="http://schemas.openxmlformats.org/officeDocument/2006/relationships/hyperlink" Target="https://my.zakupki.prom.ua/remote/dispatcher/state_purchase_view/37201558" TargetMode="External"/>
  <ns0:Relationship Id="rId903" Type="http://schemas.openxmlformats.org/officeDocument/2006/relationships/hyperlink" Target="https://my.zakupki.prom.ua/remote/dispatcher/state_contracting_view/13896422" TargetMode="External"/>
  <ns0:Relationship Id="rId904" Type="http://schemas.openxmlformats.org/officeDocument/2006/relationships/hyperlink" Target="https://my.zakupki.prom.ua/remote/dispatcher/state_purchase_view/37042692" TargetMode="External"/>
  <ns0:Relationship Id="rId905" Type="http://schemas.openxmlformats.org/officeDocument/2006/relationships/hyperlink" Target="https://my.zakupki.prom.ua/remote/dispatcher/state_contracting_view/13819830" TargetMode="External"/>
  <ns0:Relationship Id="rId906" Type="http://schemas.openxmlformats.org/officeDocument/2006/relationships/hyperlink" Target="https://my.zakupki.prom.ua/remote/dispatcher/state_purchase_view/37707730" TargetMode="External"/>
  <ns0:Relationship Id="rId907" Type="http://schemas.openxmlformats.org/officeDocument/2006/relationships/hyperlink" Target="https://my.zakupki.prom.ua/remote/dispatcher/state_contracting_view/14143738" TargetMode="External"/>
  <ns0:Relationship Id="rId908" Type="http://schemas.openxmlformats.org/officeDocument/2006/relationships/hyperlink" Target="https://my.zakupki.prom.ua/remote/dispatcher/state_purchase_view/37708703" TargetMode="External"/>
  <ns0:Relationship Id="rId909" Type="http://schemas.openxmlformats.org/officeDocument/2006/relationships/hyperlink" Target="https://my.zakupki.prom.ua/remote/dispatcher/state_contracting_view/14144307" TargetMode="External"/>
  <ns0:Relationship Id="rId910" Type="http://schemas.openxmlformats.org/officeDocument/2006/relationships/hyperlink" Target="https://my.zakupki.prom.ua/remote/dispatcher/state_purchase_view/37719639" TargetMode="External"/>
  <ns0:Relationship Id="rId911" Type="http://schemas.openxmlformats.org/officeDocument/2006/relationships/hyperlink" Target="https://my.zakupki.prom.ua/remote/dispatcher/state_contracting_view/14149774" TargetMode="External"/>
  <ns0:Relationship Id="rId912" Type="http://schemas.openxmlformats.org/officeDocument/2006/relationships/hyperlink" Target="https://my.zakupki.prom.ua/remote/dispatcher/state_purchase_view/37776109" TargetMode="External"/>
  <ns0:Relationship Id="rId913" Type="http://schemas.openxmlformats.org/officeDocument/2006/relationships/hyperlink" Target="https://my.zakupki.prom.ua/remote/dispatcher/state_contracting_view/14177545" TargetMode="External"/>
  <ns0:Relationship Id="rId914" Type="http://schemas.openxmlformats.org/officeDocument/2006/relationships/hyperlink" Target="https://my.zakupki.prom.ua/remote/dispatcher/state_purchase_view/36715506" TargetMode="External"/>
  <ns0:Relationship Id="rId915" Type="http://schemas.openxmlformats.org/officeDocument/2006/relationships/hyperlink" Target="https://my.zakupki.prom.ua/remote/dispatcher/state_contracting_view/13665501" TargetMode="External"/>
  <ns0:Relationship Id="rId916" Type="http://schemas.openxmlformats.org/officeDocument/2006/relationships/hyperlink" Target="https://my.zakupki.prom.ua/remote/dispatcher/state_purchase_view/36745127" TargetMode="External"/>
  <ns0:Relationship Id="rId917" Type="http://schemas.openxmlformats.org/officeDocument/2006/relationships/hyperlink" Target="https://my.zakupki.prom.ua/remote/dispatcher/state_contracting_view/13679139" TargetMode="External"/>
  <ns0:Relationship Id="rId918" Type="http://schemas.openxmlformats.org/officeDocument/2006/relationships/hyperlink" Target="https://my.zakupki.prom.ua/remote/dispatcher/state_purchase_view/37521004" TargetMode="External"/>
  <ns0:Relationship Id="rId919" Type="http://schemas.openxmlformats.org/officeDocument/2006/relationships/hyperlink" Target="https://my.zakupki.prom.ua/remote/dispatcher/state_contracting_view/14051609" TargetMode="External"/>
  <ns0:Relationship Id="rId920" Type="http://schemas.openxmlformats.org/officeDocument/2006/relationships/hyperlink" Target="https://my.zakupki.prom.ua/remote/dispatcher/state_purchase_view/37323044" TargetMode="External"/>
  <ns0:Relationship Id="rId921" Type="http://schemas.openxmlformats.org/officeDocument/2006/relationships/hyperlink" Target="https://my.zakupki.prom.ua/remote/dispatcher/state_contracting_view/13955487" TargetMode="External"/>
  <ns0:Relationship Id="rId922" Type="http://schemas.openxmlformats.org/officeDocument/2006/relationships/hyperlink" Target="https://my.zakupki.prom.ua/remote/dispatcher/state_purchase_view/36753204" TargetMode="External"/>
  <ns0:Relationship Id="rId923" Type="http://schemas.openxmlformats.org/officeDocument/2006/relationships/hyperlink" Target="https://my.zakupki.prom.ua/remote/dispatcher/state_contracting_view/13682942" TargetMode="External"/>
  <ns0:Relationship Id="rId924" Type="http://schemas.openxmlformats.org/officeDocument/2006/relationships/hyperlink" Target="https://my.zakupki.prom.ua/remote/dispatcher/state_purchase_view/37705821" TargetMode="External"/>
  <ns0:Relationship Id="rId925" Type="http://schemas.openxmlformats.org/officeDocument/2006/relationships/hyperlink" Target="https://my.zakupki.prom.ua/remote/dispatcher/state_contracting_view/14142835" TargetMode="External"/>
  <ns0:Relationship Id="rId926" Type="http://schemas.openxmlformats.org/officeDocument/2006/relationships/hyperlink" Target="https://my.zakupki.prom.ua/remote/dispatcher/state_purchase_view/38021627" TargetMode="External"/>
  <ns0:Relationship Id="rId927" Type="http://schemas.openxmlformats.org/officeDocument/2006/relationships/hyperlink" Target="https://my.zakupki.prom.ua/remote/dispatcher/state_contracting_view/14297531" TargetMode="External"/>
  <ns0:Relationship Id="rId928" Type="http://schemas.openxmlformats.org/officeDocument/2006/relationships/hyperlink" Target="https://my.zakupki.prom.ua/remote/dispatcher/state_purchase_view/38031221" TargetMode="External"/>
  <ns0:Relationship Id="rId929" Type="http://schemas.openxmlformats.org/officeDocument/2006/relationships/hyperlink" Target="https://my.zakupki.prom.ua/remote/dispatcher/state_contracting_view/14302353" TargetMode="External"/>
  <ns0:Relationship Id="rId930" Type="http://schemas.openxmlformats.org/officeDocument/2006/relationships/hyperlink" Target="https://my.zakupki.prom.ua/remote/dispatcher/state_purchase_view/38148397" TargetMode="External"/>
  <ns0:Relationship Id="rId931" Type="http://schemas.openxmlformats.org/officeDocument/2006/relationships/hyperlink" Target="https://my.zakupki.prom.ua/remote/dispatcher/state_contracting_view/14366232" TargetMode="External"/>
  <ns0:Relationship Id="rId932" Type="http://schemas.openxmlformats.org/officeDocument/2006/relationships/hyperlink" Target="https://my.zakupki.prom.ua/remote/dispatcher/state_purchase_view/36073570" TargetMode="External"/>
  <ns0:Relationship Id="rId933" Type="http://schemas.openxmlformats.org/officeDocument/2006/relationships/hyperlink" Target="https://my.zakupki.prom.ua/remote/dispatcher/state_contracting_view/13344691" TargetMode="External"/>
  <ns0:Relationship Id="rId934" Type="http://schemas.openxmlformats.org/officeDocument/2006/relationships/hyperlink" Target="https://my.zakupki.prom.ua/remote/dispatcher/state_purchase_view/35957945" TargetMode="External"/>
  <ns0:Relationship Id="rId935" Type="http://schemas.openxmlformats.org/officeDocument/2006/relationships/hyperlink" Target="https://my.zakupki.prom.ua/remote/dispatcher/state_contracting_view/13285214" TargetMode="External"/>
  <ns0:Relationship Id="rId936" Type="http://schemas.openxmlformats.org/officeDocument/2006/relationships/hyperlink" Target="https://my.zakupki.prom.ua/remote/dispatcher/state_purchase_view/35642367" TargetMode="External"/>
  <ns0:Relationship Id="rId937" Type="http://schemas.openxmlformats.org/officeDocument/2006/relationships/hyperlink" Target="https://my.zakupki.prom.ua/remote/dispatcher/state_contracting_view/13119707" TargetMode="External"/>
  <ns0:Relationship Id="rId938" Type="http://schemas.openxmlformats.org/officeDocument/2006/relationships/hyperlink" Target="https://my.zakupki.prom.ua/remote/dispatcher/state_purchase_view/35642532" TargetMode="External"/>
  <ns0:Relationship Id="rId939" Type="http://schemas.openxmlformats.org/officeDocument/2006/relationships/hyperlink" Target="https://my.zakupki.prom.ua/remote/dispatcher/state_contracting_view/13119904" TargetMode="External"/>
  <ns0:Relationship Id="rId940" Type="http://schemas.openxmlformats.org/officeDocument/2006/relationships/hyperlink" Target="https://my.zakupki.prom.ua/remote/dispatcher/state_purchase_view/34929804" TargetMode="External"/>
  <ns0:Relationship Id="rId941" Type="http://schemas.openxmlformats.org/officeDocument/2006/relationships/hyperlink" Target="https://my.zakupki.prom.ua/remote/dispatcher/state_contracting_view/12772693" TargetMode="External"/>
  <ns0:Relationship Id="rId942" Type="http://schemas.openxmlformats.org/officeDocument/2006/relationships/hyperlink" Target="https://my.zakupki.prom.ua/remote/dispatcher/state_purchase_view/36009384" TargetMode="External"/>
  <ns0:Relationship Id="rId943" Type="http://schemas.openxmlformats.org/officeDocument/2006/relationships/hyperlink" Target="https://my.zakupki.prom.ua/remote/dispatcher/state_contracting_view/13312346" TargetMode="External"/>
  <ns0:Relationship Id="rId944" Type="http://schemas.openxmlformats.org/officeDocument/2006/relationships/hyperlink" Target="https://my.zakupki.prom.ua/remote/dispatcher/state_purchase_view/36250870" TargetMode="External"/>
  <ns0:Relationship Id="rId945" Type="http://schemas.openxmlformats.org/officeDocument/2006/relationships/hyperlink" Target="https://my.zakupki.prom.ua/remote/dispatcher/state_contracting_view/13436018" TargetMode="External"/>
  <ns0:Relationship Id="rId946" Type="http://schemas.openxmlformats.org/officeDocument/2006/relationships/hyperlink" Target="https://my.zakupki.prom.ua/remote/dispatcher/state_purchase_view/34530452" TargetMode="External"/>
  <ns0:Relationship Id="rId947" Type="http://schemas.openxmlformats.org/officeDocument/2006/relationships/hyperlink" Target="https://my.zakupki.prom.ua/remote/dispatcher/state_contracting_view/12589806" TargetMode="External"/>
  <ns0:Relationship Id="rId948" Type="http://schemas.openxmlformats.org/officeDocument/2006/relationships/hyperlink" Target="https://my.zakupki.prom.ua/remote/dispatcher/state_purchase_view/34787421" TargetMode="External"/>
  <ns0:Relationship Id="rId949" Type="http://schemas.openxmlformats.org/officeDocument/2006/relationships/hyperlink" Target="https://my.zakupki.prom.ua/remote/dispatcher/state_contracting_view/12705034" TargetMode="External"/>
  <ns0:Relationship Id="rId950" Type="http://schemas.openxmlformats.org/officeDocument/2006/relationships/hyperlink" Target="https://my.zakupki.prom.ua/remote/dispatcher/state_purchase_view/35267194" TargetMode="External"/>
  <ns0:Relationship Id="rId951" Type="http://schemas.openxmlformats.org/officeDocument/2006/relationships/hyperlink" Target="https://my.zakupki.prom.ua/remote/dispatcher/state_contracting_view/12937392" TargetMode="External"/>
  <ns0:Relationship Id="rId952" Type="http://schemas.openxmlformats.org/officeDocument/2006/relationships/hyperlink" Target="https://my.zakupki.prom.ua/remote/dispatcher/state_purchase_view/35142882" TargetMode="External"/>
  <ns0:Relationship Id="rId953" Type="http://schemas.openxmlformats.org/officeDocument/2006/relationships/hyperlink" Target="https://my.zakupki.prom.ua/remote/dispatcher/state_contracting_view/12872547" TargetMode="External"/>
  <ns0:Relationship Id="rId954" Type="http://schemas.openxmlformats.org/officeDocument/2006/relationships/hyperlink" Target="https://my.zakupki.prom.ua/remote/dispatcher/state_purchase_view/35142267" TargetMode="External"/>
  <ns0:Relationship Id="rId955" Type="http://schemas.openxmlformats.org/officeDocument/2006/relationships/hyperlink" Target="https://my.zakupki.prom.ua/remote/dispatcher/state_contracting_view/12872120" TargetMode="External"/>
  <ns0:Relationship Id="rId956" Type="http://schemas.openxmlformats.org/officeDocument/2006/relationships/hyperlink" Target="https://my.zakupki.prom.ua/remote/dispatcher/state_purchase_view/34798012" TargetMode="External"/>
  <ns0:Relationship Id="rId957" Type="http://schemas.openxmlformats.org/officeDocument/2006/relationships/hyperlink" Target="https://my.zakupki.prom.ua/remote/dispatcher/state_contracting_view/12719317" TargetMode="External"/>
  <ns0:Relationship Id="rId958" Type="http://schemas.openxmlformats.org/officeDocument/2006/relationships/hyperlink" Target="https://my.zakupki.prom.ua/remote/dispatcher/state_purchase_view/35578753" TargetMode="External"/>
  <ns0:Relationship Id="rId959" Type="http://schemas.openxmlformats.org/officeDocument/2006/relationships/hyperlink" Target="https://my.zakupki.prom.ua/remote/dispatcher/state_contracting_view/13085153" TargetMode="External"/>
  <ns0:Relationship Id="rId960" Type="http://schemas.openxmlformats.org/officeDocument/2006/relationships/hyperlink" Target="https://my.zakupki.prom.ua/remote/dispatcher/state_purchase_view/34551625" TargetMode="External"/>
  <ns0:Relationship Id="rId961" Type="http://schemas.openxmlformats.org/officeDocument/2006/relationships/hyperlink" Target="https://my.zakupki.prom.ua/remote/dispatcher/state_contracting_view/13060521" TargetMode="External"/>
  <ns0:Relationship Id="rId962" Type="http://schemas.openxmlformats.org/officeDocument/2006/relationships/hyperlink" Target="https://my.zakupki.prom.ua/remote/dispatcher/state_purchase_view/38292149" TargetMode="External"/>
  <ns0:Relationship Id="rId963" Type="http://schemas.openxmlformats.org/officeDocument/2006/relationships/hyperlink" Target="https://my.zakupki.prom.ua/remote/dispatcher/state_contracting_view/14435958" TargetMode="External"/>
  <ns0:Relationship Id="rId964" Type="http://schemas.openxmlformats.org/officeDocument/2006/relationships/hyperlink" Target="https://my.zakupki.prom.ua/remote/dispatcher/state_purchase_view/39627884" TargetMode="External"/>
  <ns0:Relationship Id="rId965" Type="http://schemas.openxmlformats.org/officeDocument/2006/relationships/hyperlink" Target="https://my.zakupki.prom.ua/remote/dispatcher/state_contracting_view/15055650" TargetMode="External"/>
  <ns0:Relationship Id="rId966" Type="http://schemas.openxmlformats.org/officeDocument/2006/relationships/hyperlink" Target="https://my.zakupki.prom.ua/remote/dispatcher/state_purchase_view/39743462" TargetMode="External"/>
  <ns0:Relationship Id="rId967" Type="http://schemas.openxmlformats.org/officeDocument/2006/relationships/hyperlink" Target="https://my.zakupki.prom.ua/remote/dispatcher/state_contracting_view/15111189" TargetMode="External"/>
  <ns0:Relationship Id="rId968" Type="http://schemas.openxmlformats.org/officeDocument/2006/relationships/hyperlink" Target="https://my.zakupki.prom.ua/remote/dispatcher/state_purchase_view/39744855" TargetMode="External"/>
  <ns0:Relationship Id="rId969" Type="http://schemas.openxmlformats.org/officeDocument/2006/relationships/hyperlink" Target="https://my.zakupki.prom.ua/remote/dispatcher/state_contracting_view/15111975" TargetMode="External"/>
  <ns0:Relationship Id="rId970" Type="http://schemas.openxmlformats.org/officeDocument/2006/relationships/hyperlink" Target="https://my.zakupki.prom.ua/remote/dispatcher/state_purchase_view/38353767" TargetMode="External"/>
  <ns0:Relationship Id="rId971" Type="http://schemas.openxmlformats.org/officeDocument/2006/relationships/hyperlink" Target="https://my.zakupki.prom.ua/remote/dispatcher/state_contracting_view/14463194" TargetMode="External"/>
  <ns0:Relationship Id="rId972" Type="http://schemas.openxmlformats.org/officeDocument/2006/relationships/hyperlink" Target="https://my.zakupki.prom.ua/remote/dispatcher/state_purchase_view/36731930" TargetMode="External"/>
  <ns0:Relationship Id="rId973" Type="http://schemas.openxmlformats.org/officeDocument/2006/relationships/hyperlink" Target="https://my.zakupki.prom.ua/remote/dispatcher/state_contracting_view/13672945" TargetMode="External"/>
  <ns0:Relationship Id="rId974" Type="http://schemas.openxmlformats.org/officeDocument/2006/relationships/hyperlink" Target="https://my.zakupki.prom.ua/remote/dispatcher/state_purchase_view/36753642" TargetMode="External"/>
  <ns0:Relationship Id="rId975" Type="http://schemas.openxmlformats.org/officeDocument/2006/relationships/hyperlink" Target="https://my.zakupki.prom.ua/remote/dispatcher/state_contracting_view/13683148" TargetMode="External"/>
  <ns0:Relationship Id="rId976" Type="http://schemas.openxmlformats.org/officeDocument/2006/relationships/hyperlink" Target="https://my.zakupki.prom.ua/remote/dispatcher/state_purchase_view/37718482" TargetMode="External"/>
  <ns0:Relationship Id="rId977" Type="http://schemas.openxmlformats.org/officeDocument/2006/relationships/hyperlink" Target="https://my.zakupki.prom.ua/remote/dispatcher/state_contracting_view/14149187" TargetMode="External"/>
  <ns0:Relationship Id="rId978" Type="http://schemas.openxmlformats.org/officeDocument/2006/relationships/hyperlink" Target="https://my.zakupki.prom.ua/remote/dispatcher/state_purchase_view/37855959" TargetMode="External"/>
  <ns0:Relationship Id="rId979" Type="http://schemas.openxmlformats.org/officeDocument/2006/relationships/hyperlink" Target="https://my.zakupki.prom.ua/remote/dispatcher/state_contracting_view/14216613" TargetMode="External"/>
  <ns0:Relationship Id="rId980" Type="http://schemas.openxmlformats.org/officeDocument/2006/relationships/hyperlink" Target="https://my.zakupki.prom.ua/remote/dispatcher/state_purchase_view/36754354" TargetMode="External"/>
  <ns0:Relationship Id="rId981" Type="http://schemas.openxmlformats.org/officeDocument/2006/relationships/hyperlink" Target="https://my.zakupki.prom.ua/remote/dispatcher/state_contracting_view/13683498" TargetMode="External"/>
  <ns0:Relationship Id="rId982" Type="http://schemas.openxmlformats.org/officeDocument/2006/relationships/hyperlink" Target="https://my.zakupki.prom.ua/remote/dispatcher/state_purchase_view/36993182" TargetMode="External"/>
  <ns0:Relationship Id="rId983" Type="http://schemas.openxmlformats.org/officeDocument/2006/relationships/hyperlink" Target="https://my.zakupki.prom.ua/remote/dispatcher/state_contracting_view/13796348" TargetMode="External"/>
  <ns0:Relationship Id="rId984" Type="http://schemas.openxmlformats.org/officeDocument/2006/relationships/hyperlink" Target="https://my.zakupki.prom.ua/remote/dispatcher/state_purchase_view/36585269" TargetMode="External"/>
  <ns0:Relationship Id="rId985" Type="http://schemas.openxmlformats.org/officeDocument/2006/relationships/hyperlink" Target="https://my.zakupki.prom.ua/remote/dispatcher/state_contracting_view/13604640" TargetMode="External"/>
  <ns0:Relationship Id="rId986" Type="http://schemas.openxmlformats.org/officeDocument/2006/relationships/hyperlink" Target="https://my.zakupki.prom.ua/remote/dispatcher/state_purchase_view/37335387" TargetMode="External"/>
  <ns0:Relationship Id="rId987" Type="http://schemas.openxmlformats.org/officeDocument/2006/relationships/hyperlink" Target="https://my.zakupki.prom.ua/remote/dispatcher/state_contracting_view/13961502" TargetMode="External"/>
  <ns0:Relationship Id="rId988" Type="http://schemas.openxmlformats.org/officeDocument/2006/relationships/hyperlink" Target="https://my.zakupki.prom.ua/remote/dispatcher/state_purchase_view/37473395" TargetMode="External"/>
  <ns0:Relationship Id="rId989" Type="http://schemas.openxmlformats.org/officeDocument/2006/relationships/hyperlink" Target="https://my.zakupki.prom.ua/remote/dispatcher/state_contracting_view/14028543" TargetMode="External"/>
  <ns0:Relationship Id="rId990" Type="http://schemas.openxmlformats.org/officeDocument/2006/relationships/hyperlink" Target="https://my.zakupki.prom.ua/remote/dispatcher/state_purchase_view/37322972" TargetMode="External"/>
  <ns0:Relationship Id="rId991" Type="http://schemas.openxmlformats.org/officeDocument/2006/relationships/hyperlink" Target="https://my.zakupki.prom.ua/remote/dispatcher/state_contracting_view/13955668" TargetMode="External"/>
  <ns0:Relationship Id="rId992" Type="http://schemas.openxmlformats.org/officeDocument/2006/relationships/hyperlink" Target="https://my.zakupki.prom.ua/remote/dispatcher/state_purchase_view/37322641" TargetMode="External"/>
  <ns0:Relationship Id="rId993" Type="http://schemas.openxmlformats.org/officeDocument/2006/relationships/hyperlink" Target="https://my.zakupki.prom.ua/remote/dispatcher/state_contracting_view/13955273" TargetMode="External"/>
  <ns0:Relationship Id="rId994" Type="http://schemas.openxmlformats.org/officeDocument/2006/relationships/hyperlink" Target="https://my.zakupki.prom.ua/remote/dispatcher/state_purchase_view/34145234" TargetMode="External"/>
  <ns0:Relationship Id="rId995" Type="http://schemas.openxmlformats.org/officeDocument/2006/relationships/hyperlink" Target="https://my.zakupki.prom.ua/remote/dispatcher/state_contracting_view/12416940" TargetMode="External"/>
  <ns0:Relationship Id="rId996" Type="http://schemas.openxmlformats.org/officeDocument/2006/relationships/hyperlink" Target="https://my.zakupki.prom.ua/remote/dispatcher/state_purchase_view/34368693" TargetMode="External"/>
  <ns0:Relationship Id="rId997" Type="http://schemas.openxmlformats.org/officeDocument/2006/relationships/hyperlink" Target="https://my.zakupki.prom.ua/remote/dispatcher/state_contracting_view/12512267" TargetMode="External"/>
  <ns0:Relationship Id="rId998" Type="http://schemas.openxmlformats.org/officeDocument/2006/relationships/hyperlink" Target="https://my.zakupki.prom.ua/remote/dispatcher/state_purchase_view/34258895" TargetMode="External"/>
  <ns0:Relationship Id="rId999" Type="http://schemas.openxmlformats.org/officeDocument/2006/relationships/hyperlink" Target="https://my.zakupki.prom.ua/remote/dispatcher/state_contracting_view/12465568" TargetMode="External"/>
  <ns0:Relationship Id="rId1000" Type="http://schemas.openxmlformats.org/officeDocument/2006/relationships/hyperlink" Target="https://my.zakupki.prom.ua/remote/dispatcher/state_purchase_view/34460497" TargetMode="External"/>
  <ns0:Relationship Id="rId1001" Type="http://schemas.openxmlformats.org/officeDocument/2006/relationships/hyperlink" Target="https://my.zakupki.prom.ua/remote/dispatcher/state_contracting_view/12553776" TargetMode="External"/>
  <ns0:Relationship Id="rId1002" Type="http://schemas.openxmlformats.org/officeDocument/2006/relationships/hyperlink" Target="https://my.zakupki.prom.ua/remote/dispatcher/state_purchase_view/34534376" TargetMode="External"/>
  <ns0:Relationship Id="rId1003" Type="http://schemas.openxmlformats.org/officeDocument/2006/relationships/hyperlink" Target="https://my.zakupki.prom.ua/remote/dispatcher/state_contracting_view/12590545" TargetMode="External"/>
  <ns0:Relationship Id="rId1004" Type="http://schemas.openxmlformats.org/officeDocument/2006/relationships/hyperlink" Target="https://my.zakupki.prom.ua/remote/dispatcher/state_purchase_view/34947921" TargetMode="External"/>
  <ns0:Relationship Id="rId1005" Type="http://schemas.openxmlformats.org/officeDocument/2006/relationships/hyperlink" Target="https://my.zakupki.prom.ua/remote/dispatcher/state_contracting_view/12785162" TargetMode="External"/>
  <ns0:Relationship Id="rId1006" Type="http://schemas.openxmlformats.org/officeDocument/2006/relationships/hyperlink" Target="https://my.zakupki.prom.ua/remote/dispatcher/state_purchase_view/34793964" TargetMode="External"/>
  <ns0:Relationship Id="rId1007" Type="http://schemas.openxmlformats.org/officeDocument/2006/relationships/hyperlink" Target="https://my.zakupki.prom.ua/remote/dispatcher/state_contracting_view/12718646" TargetMode="External"/>
  <ns0:Relationship Id="rId1008" Type="http://schemas.openxmlformats.org/officeDocument/2006/relationships/hyperlink" Target="https://my.zakupki.prom.ua/remote/dispatcher/state_purchase_view/34794753" TargetMode="External"/>
  <ns0:Relationship Id="rId1009" Type="http://schemas.openxmlformats.org/officeDocument/2006/relationships/hyperlink" Target="https://my.zakupki.prom.ua/remote/dispatcher/state_contracting_view/12718796" TargetMode="External"/>
  <ns0:Relationship Id="rId1010" Type="http://schemas.openxmlformats.org/officeDocument/2006/relationships/hyperlink" Target="https://my.zakupki.prom.ua/remote/dispatcher/state_purchase_view/34794259" TargetMode="External"/>
  <ns0:Relationship Id="rId1011" Type="http://schemas.openxmlformats.org/officeDocument/2006/relationships/hyperlink" Target="https://my.zakupki.prom.ua/remote/dispatcher/state_contracting_view/12718920" TargetMode="External"/>
  <ns0:Relationship Id="rId1012" Type="http://schemas.openxmlformats.org/officeDocument/2006/relationships/hyperlink" Target="https://my.zakupki.prom.ua/remote/dispatcher/state_purchase_view/35790351" TargetMode="External"/>
  <ns0:Relationship Id="rId1013" Type="http://schemas.openxmlformats.org/officeDocument/2006/relationships/hyperlink" Target="https://my.zakupki.prom.ua/remote/dispatcher/state_contracting_view/13201156" TargetMode="External"/>
  <ns0:Relationship Id="rId1014" Type="http://schemas.openxmlformats.org/officeDocument/2006/relationships/hyperlink" Target="https://my.zakupki.prom.ua/remote/dispatcher/state_purchase_view/33937916" TargetMode="External"/>
  <ns0:Relationship Id="rId1015" Type="http://schemas.openxmlformats.org/officeDocument/2006/relationships/hyperlink" Target="https://my.zakupki.prom.ua/remote/dispatcher/state_contracting_view/12339948" TargetMode="External"/>
  <ns0:Relationship Id="rId1016" Type="http://schemas.openxmlformats.org/officeDocument/2006/relationships/hyperlink" Target="https://my.zakupki.prom.ua/remote/dispatcher/state_purchase_view/36121445" TargetMode="External"/>
  <ns0:Relationship Id="rId1017" Type="http://schemas.openxmlformats.org/officeDocument/2006/relationships/hyperlink" Target="https://my.zakupki.prom.ua/remote/dispatcher/state_contracting_view/13367255" TargetMode="External"/>
  <ns0:Relationship Id="rId1018" Type="http://schemas.openxmlformats.org/officeDocument/2006/relationships/hyperlink" Target="https://my.zakupki.prom.ua/remote/dispatcher/state_purchase_view/36167424" TargetMode="External"/>
  <ns0:Relationship Id="rId1019" Type="http://schemas.openxmlformats.org/officeDocument/2006/relationships/hyperlink" Target="https://my.zakupki.prom.ua/remote/dispatcher/state_contracting_view/13392869" TargetMode="External"/>
  <ns0:Relationship Id="rId1020" Type="http://schemas.openxmlformats.org/officeDocument/2006/relationships/hyperlink" Target="https://my.zakupki.prom.ua/remote/dispatcher/state_purchase_view/35196013" TargetMode="External"/>
  <ns0:Relationship Id="rId1021" Type="http://schemas.openxmlformats.org/officeDocument/2006/relationships/hyperlink" Target="https://my.zakupki.prom.ua/remote/dispatcher/state_contracting_view/12902747" TargetMode="External"/>
  <ns0:Relationship Id="rId1022" Type="http://schemas.openxmlformats.org/officeDocument/2006/relationships/hyperlink" Target="https://my.zakupki.prom.ua/remote/dispatcher/state_purchase_view/35286824" TargetMode="External"/>
  <ns0:Relationship Id="rId1023" Type="http://schemas.openxmlformats.org/officeDocument/2006/relationships/hyperlink" Target="https://my.zakupki.prom.ua/remote/dispatcher/state_contracting_view/12941967" TargetMode="External"/>
  <ns0:Relationship Id="rId1024" Type="http://schemas.openxmlformats.org/officeDocument/2006/relationships/hyperlink" Target="https://my.zakupki.prom.ua/remote/dispatcher/state_purchase_view/36230153" TargetMode="External"/>
  <ns0:Relationship Id="rId1025" Type="http://schemas.openxmlformats.org/officeDocument/2006/relationships/hyperlink" Target="https://my.zakupki.prom.ua/remote/dispatcher/state_contracting_view/13425265" TargetMode="External"/>
  <ns0:Relationship Id="rId1026" Type="http://schemas.openxmlformats.org/officeDocument/2006/relationships/hyperlink" Target="https://my.zakupki.prom.ua/remote/dispatcher/state_purchase_view/35802785" TargetMode="External"/>
  <ns0:Relationship Id="rId1027" Type="http://schemas.openxmlformats.org/officeDocument/2006/relationships/hyperlink" Target="https://my.zakupki.prom.ua/remote/dispatcher/state_contracting_view/13205051" TargetMode="External"/>
  <ns0:Relationship Id="rId1028" Type="http://schemas.openxmlformats.org/officeDocument/2006/relationships/hyperlink" Target="https://my.zakupki.prom.ua/remote/dispatcher/state_purchase_view/35947262" TargetMode="External"/>
  <ns0:Relationship Id="rId1029" Type="http://schemas.openxmlformats.org/officeDocument/2006/relationships/hyperlink" Target="https://my.zakupki.prom.ua/remote/dispatcher/state_contracting_view/13279276" TargetMode="External"/>
  <ns0:Relationship Id="rId1030" Type="http://schemas.openxmlformats.org/officeDocument/2006/relationships/hyperlink" Target="https://my.zakupki.prom.ua/remote/dispatcher/state_purchase_view/36438522" TargetMode="External"/>
  <ns0:Relationship Id="rId1031" Type="http://schemas.openxmlformats.org/officeDocument/2006/relationships/hyperlink" Target="https://my.zakupki.prom.ua/remote/dispatcher/state_contracting_view/13531410" TargetMode="External"/>
  <ns0:Relationship Id="rId1032" Type="http://schemas.openxmlformats.org/officeDocument/2006/relationships/hyperlink" Target="https://my.zakupki.prom.ua/remote/dispatcher/state_purchase_view/35144459" TargetMode="External"/>
  <ns0:Relationship Id="rId1033" Type="http://schemas.openxmlformats.org/officeDocument/2006/relationships/hyperlink" Target="https://my.zakupki.prom.ua/remote/dispatcher/state_contracting_view/12877876" TargetMode="External"/>
  <ns0:Relationship Id="rId1034" Type="http://schemas.openxmlformats.org/officeDocument/2006/relationships/hyperlink" Target="https://my.zakupki.prom.ua/remote/dispatcher/state_purchase_view/39779680" TargetMode="External"/>
  <ns0:Relationship Id="rId1035" Type="http://schemas.openxmlformats.org/officeDocument/2006/relationships/hyperlink" Target="https://my.zakupki.prom.ua/remote/dispatcher/state_contracting_view/15129407" TargetMode="External"/>
  <ns0:Relationship Id="rId1036" Type="http://schemas.openxmlformats.org/officeDocument/2006/relationships/hyperlink" Target="https://my.zakupki.prom.ua/remote/dispatcher/state_purchase_view/38618226" TargetMode="External"/>
  <ns0:Relationship Id="rId1037" Type="http://schemas.openxmlformats.org/officeDocument/2006/relationships/hyperlink" Target="https://my.zakupki.prom.ua/remote/dispatcher/state_contracting_view/14586275" TargetMode="External"/>
  <ns0:Relationship Id="rId1038" Type="http://schemas.openxmlformats.org/officeDocument/2006/relationships/hyperlink" Target="https://my.zakupki.prom.ua/remote/dispatcher/state_purchase_view/38686913" TargetMode="External"/>
  <ns0:Relationship Id="rId1039" Type="http://schemas.openxmlformats.org/officeDocument/2006/relationships/hyperlink" Target="https://my.zakupki.prom.ua/remote/dispatcher/state_contracting_view/14616935" TargetMode="External"/>
  <ns0:Relationship Id="rId1040" Type="http://schemas.openxmlformats.org/officeDocument/2006/relationships/hyperlink" Target="https://my.zakupki.prom.ua/remote/dispatcher/state_purchase_view/38210329" TargetMode="External"/>
  <ns0:Relationship Id="rId1041" Type="http://schemas.openxmlformats.org/officeDocument/2006/relationships/hyperlink" Target="https://my.zakupki.prom.ua/remote/dispatcher/state_contracting_view/14393843" TargetMode="External"/>
  <ns0:Relationship Id="rId1042" Type="http://schemas.openxmlformats.org/officeDocument/2006/relationships/hyperlink" Target="https://my.zakupki.prom.ua/remote/dispatcher/state_purchase_view/36404414" TargetMode="External"/>
  <ns0:Relationship Id="rId1043" Type="http://schemas.openxmlformats.org/officeDocument/2006/relationships/hyperlink" Target="https://my.zakupki.prom.ua/remote/dispatcher/state_contracting_view/13514396" TargetMode="External"/>
  <ns0:Relationship Id="rId1044" Type="http://schemas.openxmlformats.org/officeDocument/2006/relationships/hyperlink" Target="https://my.zakupki.prom.ua/remote/dispatcher/state_purchase_view/39728961" TargetMode="External"/>
  <ns0:Relationship Id="rId1045" Type="http://schemas.openxmlformats.org/officeDocument/2006/relationships/hyperlink" Target="https://my.zakupki.prom.ua/remote/dispatcher/state_contracting_view/15104272" TargetMode="External"/>
  <ns0:Relationship Id="rId1046" Type="http://schemas.openxmlformats.org/officeDocument/2006/relationships/hyperlink" Target="https://my.zakupki.prom.ua/remote/dispatcher/state_purchase_view/39745773" TargetMode="External"/>
  <ns0:Relationship Id="rId1047" Type="http://schemas.openxmlformats.org/officeDocument/2006/relationships/hyperlink" Target="https://my.zakupki.prom.ua/remote/dispatcher/state_contracting_view/15112356" TargetMode="External"/>
  <ns0:Relationship Id="rId1048" Type="http://schemas.openxmlformats.org/officeDocument/2006/relationships/hyperlink" Target="https://my.zakupki.prom.ua/remote/dispatcher/state_purchase_view/38115496" TargetMode="External"/>
  <ns0:Relationship Id="rId1049" Type="http://schemas.openxmlformats.org/officeDocument/2006/relationships/hyperlink" Target="https://my.zakupki.prom.ua/remote/dispatcher/state_contracting_view/14346513" TargetMode="External"/>
  <ns0:Relationship Id="rId1050" Type="http://schemas.openxmlformats.org/officeDocument/2006/relationships/hyperlink" Target="https://my.zakupki.prom.ua/remote/dispatcher/state_purchase_view/38149945" TargetMode="External"/>
  <ns0:Relationship Id="rId1051" Type="http://schemas.openxmlformats.org/officeDocument/2006/relationships/hyperlink" Target="https://my.zakupki.prom.ua/remote/dispatcher/state_contracting_view/14366228" TargetMode="External"/>
  <ns0:Relationship Id="rId1052" Type="http://schemas.openxmlformats.org/officeDocument/2006/relationships/hyperlink" Target="https://my.zakupki.prom.ua/remote/dispatcher/state_purchase_view/38503020" TargetMode="External"/>
  <ns0:Relationship Id="rId1053" Type="http://schemas.openxmlformats.org/officeDocument/2006/relationships/hyperlink" Target="https://my.zakupki.prom.ua/remote/dispatcher/state_contracting_view/14531974" TargetMode="External"/>
  <ns0:Relationship Id="rId1054" Type="http://schemas.openxmlformats.org/officeDocument/2006/relationships/hyperlink" Target="https://my.zakupki.prom.ua/remote/dispatcher/state_purchase_view/37842086" TargetMode="External"/>
  <ns0:Relationship Id="rId1055" Type="http://schemas.openxmlformats.org/officeDocument/2006/relationships/hyperlink" Target="https://my.zakupki.prom.ua/remote/dispatcher/state_contracting_view/14209903" TargetMode="External"/>
  <ns0:Relationship Id="rId1056" Type="http://schemas.openxmlformats.org/officeDocument/2006/relationships/hyperlink" Target="https://my.zakupki.prom.ua/remote/dispatcher/state_purchase_view/37774589" TargetMode="External"/>
  <ns0:Relationship Id="rId1057" Type="http://schemas.openxmlformats.org/officeDocument/2006/relationships/hyperlink" Target="https://my.zakupki.prom.ua/remote/dispatcher/state_contracting_view/14177025" TargetMode="External"/>
  <ns0:Relationship Id="rId1058" Type="http://schemas.openxmlformats.org/officeDocument/2006/relationships/hyperlink" Target="https://my.zakupki.prom.ua/remote/dispatcher/state_purchase_view/37140619" TargetMode="External"/>
  <ns0:Relationship Id="rId1059" Type="http://schemas.openxmlformats.org/officeDocument/2006/relationships/hyperlink" Target="https://my.zakupki.prom.ua/remote/dispatcher/state_contracting_view/13866590" TargetMode="External"/>
  <ns0:Relationship Id="rId1060" Type="http://schemas.openxmlformats.org/officeDocument/2006/relationships/hyperlink" Target="https://my.zakupki.prom.ua/remote/dispatcher/state_purchase_view/36719259" TargetMode="External"/>
  <ns0:Relationship Id="rId1061" Type="http://schemas.openxmlformats.org/officeDocument/2006/relationships/hyperlink" Target="https://my.zakupki.prom.ua/remote/dispatcher/state_contracting_view/13667169" TargetMode="External"/>
  <ns0:Relationship Id="rId1062" Type="http://schemas.openxmlformats.org/officeDocument/2006/relationships/hyperlink" Target="https://my.zakupki.prom.ua/remote/dispatcher/state_purchase_view/36673167" TargetMode="External"/>
  <ns0:Relationship Id="rId1063" Type="http://schemas.openxmlformats.org/officeDocument/2006/relationships/hyperlink" Target="https://my.zakupki.prom.ua/remote/dispatcher/state_contracting_view/13645848" TargetMode="External"/>
  <ns0:Relationship Id="rId1064" Type="http://schemas.openxmlformats.org/officeDocument/2006/relationships/hyperlink" Target="https://my.zakupki.prom.ua/remote/dispatcher/state_purchase_view/36707266" TargetMode="External"/>
  <ns0:Relationship Id="rId1065" Type="http://schemas.openxmlformats.org/officeDocument/2006/relationships/hyperlink" Target="https://my.zakupki.prom.ua/remote/dispatcher/state_contracting_view/13661917" TargetMode="External"/>
  <ns0:Relationship Id="rId1066" Type="http://schemas.openxmlformats.org/officeDocument/2006/relationships/hyperlink" Target="https://my.zakupki.prom.ua/remote/dispatcher/state_purchase_view/36707617" TargetMode="External"/>
  <ns0:Relationship Id="rId1067" Type="http://schemas.openxmlformats.org/officeDocument/2006/relationships/hyperlink" Target="https://my.zakupki.prom.ua/remote/dispatcher/state_contracting_view/13661713" TargetMode="External"/>
  <ns0:Relationship Id="rId1068" Type="http://schemas.openxmlformats.org/officeDocument/2006/relationships/hyperlink" Target="https://my.zakupki.prom.ua/remote/dispatcher/state_purchase_view/36743218" TargetMode="External"/>
  <ns0:Relationship Id="rId1069" Type="http://schemas.openxmlformats.org/officeDocument/2006/relationships/hyperlink" Target="https://my.zakupki.prom.ua/remote/dispatcher/state_contracting_view/13678279" TargetMode="External"/>
  <ns0:Relationship Id="rId1070" Type="http://schemas.openxmlformats.org/officeDocument/2006/relationships/hyperlink" Target="https://my.zakupki.prom.ua/remote/dispatcher/state_purchase_view/36743775" TargetMode="External"/>
  <ns0:Relationship Id="rId1071" Type="http://schemas.openxmlformats.org/officeDocument/2006/relationships/hyperlink" Target="https://my.zakupki.prom.ua/remote/dispatcher/state_contracting_view/13678555" TargetMode="External"/>
  <ns0:Relationship Id="rId1072" Type="http://schemas.openxmlformats.org/officeDocument/2006/relationships/hyperlink" Target="https://my.zakupki.prom.ua/remote/dispatcher/state_purchase_view/37398727" TargetMode="External"/>
  <ns0:Relationship Id="rId1073" Type="http://schemas.openxmlformats.org/officeDocument/2006/relationships/hyperlink" Target="https://my.zakupki.prom.ua/remote/dispatcher/state_contracting_view/13992479" TargetMode="External"/>
  <ns0:Relationship Id="rId1074" Type="http://schemas.openxmlformats.org/officeDocument/2006/relationships/hyperlink" Target="https://my.zakupki.prom.ua/remote/dispatcher/state_purchase_view/37588331" TargetMode="External"/>
  <ns0:Relationship Id="rId1075" Type="http://schemas.openxmlformats.org/officeDocument/2006/relationships/hyperlink" Target="https://my.zakupki.prom.ua/remote/dispatcher/state_contracting_view/14084499" TargetMode="External"/>
  <ns0:Relationship Id="rId1076" Type="http://schemas.openxmlformats.org/officeDocument/2006/relationships/hyperlink" Target="https://my.zakupki.prom.ua/remote/dispatcher/state_purchase_view/37709119" TargetMode="External"/>
  <ns0:Relationship Id="rId1077" Type="http://schemas.openxmlformats.org/officeDocument/2006/relationships/hyperlink" Target="https://my.zakupki.prom.ua/remote/dispatcher/state_contracting_view/14144508" TargetMode="External"/>
  <ns0:Relationship Id="rId1078" Type="http://schemas.openxmlformats.org/officeDocument/2006/relationships/hyperlink" Target="https://my.zakupki.prom.ua/remote/dispatcher/state_purchase_view/36526015" TargetMode="External"/>
  <ns0:Relationship Id="rId1079" Type="http://schemas.openxmlformats.org/officeDocument/2006/relationships/hyperlink" Target="https://my.zakupki.prom.ua/remote/dispatcher/state_contracting_view/13575500" TargetMode="External"/>
  <ns0:Relationship Id="rId1080" Type="http://schemas.openxmlformats.org/officeDocument/2006/relationships/hyperlink" Target="https://my.zakupki.prom.ua/remote/dispatcher/state_purchase_view/37774311" TargetMode="External"/>
  <ns0:Relationship Id="rId1081" Type="http://schemas.openxmlformats.org/officeDocument/2006/relationships/hyperlink" Target="https://my.zakupki.prom.ua/remote/dispatcher/state_contracting_view/14176812" TargetMode="External"/>
  <ns0:Relationship Id="rId1082" Type="http://schemas.openxmlformats.org/officeDocument/2006/relationships/hyperlink" Target="https://my.zakupki.prom.ua/remote/dispatcher/state_purchase_view/36838070" TargetMode="External"/>
  <ns0:Relationship Id="rId1083" Type="http://schemas.openxmlformats.org/officeDocument/2006/relationships/hyperlink" Target="https://my.zakupki.prom.ua/remote/dispatcher/state_contracting_view/13722948" TargetMode="External"/>
  <ns0:Relationship Id="rId1084" Type="http://schemas.openxmlformats.org/officeDocument/2006/relationships/hyperlink" Target="https://my.zakupki.prom.ua/remote/dispatcher/state_purchase_view/35642725" TargetMode="External"/>
  <ns0:Relationship Id="rId1085" Type="http://schemas.openxmlformats.org/officeDocument/2006/relationships/hyperlink" Target="https://my.zakupki.prom.ua/remote/dispatcher/state_contracting_view/13120030" TargetMode="External"/>
  <ns0:Relationship Id="rId1086" Type="http://schemas.openxmlformats.org/officeDocument/2006/relationships/hyperlink" Target="https://my.zakupki.prom.ua/remote/dispatcher/state_purchase_view/35939393" TargetMode="External"/>
  <ns0:Relationship Id="rId1087" Type="http://schemas.openxmlformats.org/officeDocument/2006/relationships/hyperlink" Target="https://my.zakupki.prom.ua/remote/dispatcher/state_contracting_view/13275393" TargetMode="External"/>
  <ns0:Relationship Id="rId1088" Type="http://schemas.openxmlformats.org/officeDocument/2006/relationships/hyperlink" Target="https://my.zakupki.prom.ua/remote/dispatcher/state_purchase_view/35843496" TargetMode="External"/>
  <ns0:Relationship Id="rId1089" Type="http://schemas.openxmlformats.org/officeDocument/2006/relationships/hyperlink" Target="https://my.zakupki.prom.ua/remote/dispatcher/state_contracting_view/13226343" TargetMode="External"/>
  <ns0:Relationship Id="rId1090" Type="http://schemas.openxmlformats.org/officeDocument/2006/relationships/hyperlink" Target="https://my.zakupki.prom.ua/remote/dispatcher/state_purchase_view/35790553" TargetMode="External"/>
  <ns0:Relationship Id="rId1091" Type="http://schemas.openxmlformats.org/officeDocument/2006/relationships/hyperlink" Target="https://my.zakupki.prom.ua/remote/dispatcher/state_contracting_view/13201178" TargetMode="External"/>
  <ns0:Relationship Id="rId1092" Type="http://schemas.openxmlformats.org/officeDocument/2006/relationships/hyperlink" Target="https://my.zakupki.prom.ua/remote/dispatcher/state_purchase_view/35712288" TargetMode="External"/>
  <ns0:Relationship Id="rId1093" Type="http://schemas.openxmlformats.org/officeDocument/2006/relationships/hyperlink" Target="https://my.zakupki.prom.ua/remote/dispatcher/state_contracting_view/13157090" TargetMode="External"/>
  <ns0:Relationship Id="rId1094" Type="http://schemas.openxmlformats.org/officeDocument/2006/relationships/hyperlink" Target="https://my.zakupki.prom.ua/remote/dispatcher/state_purchase_view/35938780" TargetMode="External"/>
  <ns0:Relationship Id="rId1095" Type="http://schemas.openxmlformats.org/officeDocument/2006/relationships/hyperlink" Target="https://my.zakupki.prom.ua/remote/dispatcher/state_contracting_view/13274974" TargetMode="External"/>
  <ns0:Relationship Id="rId1096" Type="http://schemas.openxmlformats.org/officeDocument/2006/relationships/hyperlink" Target="https://my.zakupki.prom.ua/remote/dispatcher/state_purchase_view/35223755" TargetMode="External"/>
  <ns0:Relationship Id="rId1097" Type="http://schemas.openxmlformats.org/officeDocument/2006/relationships/hyperlink" Target="https://my.zakupki.prom.ua/remote/dispatcher/state_contracting_view/12913426" TargetMode="External"/>
  <ns0:Relationship Id="rId1098" Type="http://schemas.openxmlformats.org/officeDocument/2006/relationships/hyperlink" Target="https://my.zakupki.prom.ua/remote/dispatcher/state_purchase_view/35221547" TargetMode="External"/>
  <ns0:Relationship Id="rId1099" Type="http://schemas.openxmlformats.org/officeDocument/2006/relationships/hyperlink" Target="https://my.zakupki.prom.ua/remote/dispatcher/state_contracting_view/12914364" TargetMode="External"/>
  <ns0:Relationship Id="rId1100" Type="http://schemas.openxmlformats.org/officeDocument/2006/relationships/hyperlink" Target="https://my.zakupki.prom.ua/remote/dispatcher/state_purchase_view/35598766" TargetMode="External"/>
  <ns0:Relationship Id="rId1101" Type="http://schemas.openxmlformats.org/officeDocument/2006/relationships/hyperlink" Target="https://my.zakupki.prom.ua/remote/dispatcher/state_contracting_view/13095873" TargetMode="External"/>
  <ns0:Relationship Id="rId1102" Type="http://schemas.openxmlformats.org/officeDocument/2006/relationships/hyperlink" Target="https://my.zakupki.prom.ua/remote/dispatcher/state_purchase_view/35556440" TargetMode="External"/>
  <ns0:Relationship Id="rId1103" Type="http://schemas.openxmlformats.org/officeDocument/2006/relationships/hyperlink" Target="https://my.zakupki.prom.ua/remote/dispatcher/state_contracting_view/13073457" TargetMode="External"/>
  <ns0:Relationship Id="rId1104" Type="http://schemas.openxmlformats.org/officeDocument/2006/relationships/hyperlink" Target="https://my.zakupki.prom.ua/remote/dispatcher/state_purchase_view/34805743" TargetMode="External"/>
  <ns0:Relationship Id="rId1105" Type="http://schemas.openxmlformats.org/officeDocument/2006/relationships/hyperlink" Target="https://my.zakupki.prom.ua/remote/dispatcher/state_contracting_view/13110727" TargetMode="External"/>
  <ns0:Relationship Id="rId1106" Type="http://schemas.openxmlformats.org/officeDocument/2006/relationships/hyperlink" Target="https://my.zakupki.prom.ua/remote/dispatcher/state_purchase_view/35691462" TargetMode="External"/>
  <ns0:Relationship Id="rId1107" Type="http://schemas.openxmlformats.org/officeDocument/2006/relationships/hyperlink" Target="https://my.zakupki.prom.ua/remote/dispatcher/state_contracting_view/13146215" TargetMode="External"/>
  <ns0:Relationship Id="rId1108" Type="http://schemas.openxmlformats.org/officeDocument/2006/relationships/hyperlink" Target="https://my.zakupki.prom.ua/remote/dispatcher/state_purchase_view/35704883" TargetMode="External"/>
  <ns0:Relationship Id="rId1109" Type="http://schemas.openxmlformats.org/officeDocument/2006/relationships/hyperlink" Target="https://my.zakupki.prom.ua/remote/dispatcher/state_contracting_view/13153808" TargetMode="External"/>
  <ns0:Relationship Id="rId1110" Type="http://schemas.openxmlformats.org/officeDocument/2006/relationships/hyperlink" Target="https://my.zakupki.prom.ua/remote/dispatcher/state_purchase_view/36158176" TargetMode="External"/>
  <ns0:Relationship Id="rId1111" Type="http://schemas.openxmlformats.org/officeDocument/2006/relationships/hyperlink" Target="https://my.zakupki.prom.ua/remote/dispatcher/state_contracting_view/13387077" TargetMode="External"/>
  <ns0:Relationship Id="rId1112" Type="http://schemas.openxmlformats.org/officeDocument/2006/relationships/hyperlink" Target="https://my.zakupki.prom.ua/remote/dispatcher/state_purchase_view/36158096" TargetMode="External"/>
  <ns0:Relationship Id="rId1113" Type="http://schemas.openxmlformats.org/officeDocument/2006/relationships/hyperlink" Target="https://my.zakupki.prom.ua/remote/dispatcher/state_contracting_view/13387082" TargetMode="External"/>
  <ns0:Relationship Id="rId1114" Type="http://schemas.openxmlformats.org/officeDocument/2006/relationships/hyperlink" Target="https://my.zakupki.prom.ua/remote/dispatcher/state_purchase_view/34087917" TargetMode="External"/>
  <ns0:Relationship Id="rId1115" Type="http://schemas.openxmlformats.org/officeDocument/2006/relationships/hyperlink" Target="https://my.zakupki.prom.ua/remote/dispatcher/state_contracting_view/12436064" TargetMode="External"/>
  <ns0:Relationship Id="rId1116" Type="http://schemas.openxmlformats.org/officeDocument/2006/relationships/hyperlink" Target="https://my.zakupki.prom.ua/remote/dispatcher/state_purchase_view/33235536" TargetMode="External"/>
  <ns0:Relationship Id="rId1117" Type="http://schemas.openxmlformats.org/officeDocument/2006/relationships/hyperlink" Target="https://my.zakupki.prom.ua/remote/dispatcher/state_contracting_view/12375119" TargetMode="External"/>
  <ns0:Relationship Id="rId1118" Type="http://schemas.openxmlformats.org/officeDocument/2006/relationships/hyperlink" Target="https://my.zakupki.prom.ua/remote/dispatcher/state_purchase_view/37669291" TargetMode="External"/>
  <ns0:Relationship Id="rId1119" Type="http://schemas.openxmlformats.org/officeDocument/2006/relationships/hyperlink" Target="https://my.zakupki.prom.ua/remote/dispatcher/state_contracting_view/14124408" TargetMode="External"/>
  <ns0:Relationship Id="rId1120" Type="http://schemas.openxmlformats.org/officeDocument/2006/relationships/hyperlink" Target="https://my.zakupki.prom.ua/remote/dispatcher/state_purchase_view/36708613" TargetMode="External"/>
  <ns0:Relationship Id="rId1121" Type="http://schemas.openxmlformats.org/officeDocument/2006/relationships/hyperlink" Target="https://my.zakupki.prom.ua/remote/dispatcher/state_contracting_view/13662418" TargetMode="External"/>
  <ns0:Relationship Id="rId1122" Type="http://schemas.openxmlformats.org/officeDocument/2006/relationships/hyperlink" Target="https://my.zakupki.prom.ua/remote/dispatcher/state_purchase_view/36715778" TargetMode="External"/>
  <ns0:Relationship Id="rId1123" Type="http://schemas.openxmlformats.org/officeDocument/2006/relationships/hyperlink" Target="https://my.zakupki.prom.ua/remote/dispatcher/state_contracting_view/13665664" TargetMode="External"/>
  <ns0:Relationship Id="rId1124" Type="http://schemas.openxmlformats.org/officeDocument/2006/relationships/hyperlink" Target="https://my.zakupki.prom.ua/remote/dispatcher/state_purchase_view/36743844" TargetMode="External"/>
  <ns0:Relationship Id="rId1125" Type="http://schemas.openxmlformats.org/officeDocument/2006/relationships/hyperlink" Target="https://my.zakupki.prom.ua/remote/dispatcher/state_contracting_view/13678731" TargetMode="External"/>
  <ns0:Relationship Id="rId1126" Type="http://schemas.openxmlformats.org/officeDocument/2006/relationships/hyperlink" Target="https://my.zakupki.prom.ua/remote/dispatcher/state_purchase_view/36694120" TargetMode="External"/>
  <ns0:Relationship Id="rId1127" Type="http://schemas.openxmlformats.org/officeDocument/2006/relationships/hyperlink" Target="https://my.zakupki.prom.ua/remote/dispatcher/state_contracting_view/13655567" TargetMode="External"/>
  <ns0:Relationship Id="rId1128" Type="http://schemas.openxmlformats.org/officeDocument/2006/relationships/hyperlink" Target="https://my.zakupki.prom.ua/remote/dispatcher/state_purchase_view/37024791" TargetMode="External"/>
  <ns0:Relationship Id="rId1129" Type="http://schemas.openxmlformats.org/officeDocument/2006/relationships/hyperlink" Target="https://my.zakupki.prom.ua/remote/dispatcher/state_contracting_view/13811040" TargetMode="External"/>
  <ns0:Relationship Id="rId1130" Type="http://schemas.openxmlformats.org/officeDocument/2006/relationships/hyperlink" Target="https://my.zakupki.prom.ua/remote/dispatcher/state_purchase_view/37119717" TargetMode="External"/>
  <ns0:Relationship Id="rId1131" Type="http://schemas.openxmlformats.org/officeDocument/2006/relationships/hyperlink" Target="https://my.zakupki.prom.ua/remote/dispatcher/state_contracting_view/13856407" TargetMode="External"/>
  <ns0:Relationship Id="rId1132" Type="http://schemas.openxmlformats.org/officeDocument/2006/relationships/hyperlink" Target="https://my.zakupki.prom.ua/remote/dispatcher/state_purchase_view/37160199" TargetMode="External"/>
  <ns0:Relationship Id="rId1133" Type="http://schemas.openxmlformats.org/officeDocument/2006/relationships/hyperlink" Target="https://my.zakupki.prom.ua/remote/dispatcher/state_contracting_view/13876022" TargetMode="External"/>
  <ns0:Relationship Id="rId1134" Type="http://schemas.openxmlformats.org/officeDocument/2006/relationships/hyperlink" Target="https://my.zakupki.prom.ua/remote/dispatcher/state_purchase_view/37325246" TargetMode="External"/>
  <ns0:Relationship Id="rId1135" Type="http://schemas.openxmlformats.org/officeDocument/2006/relationships/hyperlink" Target="https://my.zakupki.prom.ua/remote/dispatcher/state_contracting_view/13957331" TargetMode="External"/>
  <ns0:Relationship Id="rId1136" Type="http://schemas.openxmlformats.org/officeDocument/2006/relationships/hyperlink" Target="https://my.zakupki.prom.ua/remote/dispatcher/state_purchase_view/37322127" TargetMode="External"/>
  <ns0:Relationship Id="rId1137" Type="http://schemas.openxmlformats.org/officeDocument/2006/relationships/hyperlink" Target="https://my.zakupki.prom.ua/remote/dispatcher/state_contracting_view/13955314" TargetMode="External"/>
  <ns0:Relationship Id="rId1138" Type="http://schemas.openxmlformats.org/officeDocument/2006/relationships/hyperlink" Target="https://my.zakupki.prom.ua/remote/dispatcher/state_purchase_view/37489509" TargetMode="External"/>
  <ns0:Relationship Id="rId1139" Type="http://schemas.openxmlformats.org/officeDocument/2006/relationships/hyperlink" Target="https://my.zakupki.prom.ua/remote/dispatcher/state_contracting_view/14036348" TargetMode="External"/>
  <ns0:Relationship Id="rId1140" Type="http://schemas.openxmlformats.org/officeDocument/2006/relationships/hyperlink" Target="https://my.zakupki.prom.ua/remote/dispatcher/state_purchase_view/37934856" TargetMode="External"/>
  <ns0:Relationship Id="rId1141" Type="http://schemas.openxmlformats.org/officeDocument/2006/relationships/hyperlink" Target="https://my.zakupki.prom.ua/remote/dispatcher/state_contracting_view/14255001" TargetMode="External"/>
  <ns0:Relationship Id="rId1142" Type="http://schemas.openxmlformats.org/officeDocument/2006/relationships/hyperlink" Target="https://my.zakupki.prom.ua/remote/dispatcher/state_purchase_view/39739325" TargetMode="External"/>
  <ns0:Relationship Id="rId1143" Type="http://schemas.openxmlformats.org/officeDocument/2006/relationships/hyperlink" Target="https://my.zakupki.prom.ua/remote/dispatcher/state_contracting_view/15109158" TargetMode="External"/>
  <ns0:Relationship Id="rId1144" Type="http://schemas.openxmlformats.org/officeDocument/2006/relationships/hyperlink" Target="https://my.zakupki.prom.ua/remote/dispatcher/state_purchase_view/39741600" TargetMode="External"/>
  <ns0:Relationship Id="rId1145" Type="http://schemas.openxmlformats.org/officeDocument/2006/relationships/hyperlink" Target="https://my.zakupki.prom.ua/remote/dispatcher/state_contracting_view/15110414" TargetMode="External"/>
  <ns0:Relationship Id="rId1146" Type="http://schemas.openxmlformats.org/officeDocument/2006/relationships/hyperlink" Target="https://my.zakupki.prom.ua/remote/dispatcher/state_purchase_view/38620288" TargetMode="External"/>
  <ns0:Relationship Id="rId1147" Type="http://schemas.openxmlformats.org/officeDocument/2006/relationships/hyperlink" Target="https://my.zakupki.prom.ua/remote/dispatcher/state_contracting_view/14586093" TargetMode="External"/>
  <ns0:Relationship Id="rId1148" Type="http://schemas.openxmlformats.org/officeDocument/2006/relationships/hyperlink" Target="https://my.zakupki.prom.ua/remote/dispatcher/state_purchase_view/38679395" TargetMode="External"/>
  <ns0:Relationship Id="rId1149" Type="http://schemas.openxmlformats.org/officeDocument/2006/relationships/hyperlink" Target="https://my.zakupki.prom.ua/remote/dispatcher/state_contracting_view/14613568" TargetMode="External"/>
  <ns0:Relationship Id="rId1150" Type="http://schemas.openxmlformats.org/officeDocument/2006/relationships/hyperlink" Target="https://my.zakupki.prom.ua/remote/dispatcher/state_purchase_view/38150630" TargetMode="External"/>
  <ns0:Relationship Id="rId1151" Type="http://schemas.openxmlformats.org/officeDocument/2006/relationships/hyperlink" Target="https://my.zakupki.prom.ua/remote/dispatcher/state_contracting_view/14366632" TargetMode="External"/>
  <ns0:Relationship Id="rId1152" Type="http://schemas.openxmlformats.org/officeDocument/2006/relationships/hyperlink" Target="https://my.zakupki.prom.ua/remote/dispatcher/state_purchase_view/38115606" TargetMode="External"/>
  <ns0:Relationship Id="rId1153" Type="http://schemas.openxmlformats.org/officeDocument/2006/relationships/hyperlink" Target="https://my.zakupki.prom.ua/remote/dispatcher/state_contracting_view/14347086" TargetMode="External"/>
  <ns0:Relationship Id="rId1154" Type="http://schemas.openxmlformats.org/officeDocument/2006/relationships/hyperlink" Target="https://my.zakupki.prom.ua/remote/dispatcher/state_purchase_view/38151636" TargetMode="External"/>
  <ns0:Relationship Id="rId1155" Type="http://schemas.openxmlformats.org/officeDocument/2006/relationships/hyperlink" Target="https://my.zakupki.prom.ua/remote/dispatcher/state_contracting_view/14366816" TargetMode="External"/>
  <ns0:Relationship Id="rId1156" Type="http://schemas.openxmlformats.org/officeDocument/2006/relationships/hyperlink" Target="https://my.zakupki.prom.ua/remote/dispatcher/state_purchase_view/38023278" TargetMode="External"/>
  <ns0:Relationship Id="rId1157" Type="http://schemas.openxmlformats.org/officeDocument/2006/relationships/hyperlink" Target="https://my.zakupki.prom.ua/remote/dispatcher/state_contracting_view/14298659" TargetMode="External"/>
  <ns0:Relationship Id="rId1158" Type="http://schemas.openxmlformats.org/officeDocument/2006/relationships/hyperlink" Target="https://my.zakupki.prom.ua/remote/dispatcher/state_purchase_view/39535235" TargetMode="External"/>
  <ns0:Relationship Id="rId1159" Type="http://schemas.openxmlformats.org/officeDocument/2006/relationships/hyperlink" Target="https://my.zakupki.prom.ua/remote/dispatcher/state_contracting_view/15010960" TargetMode="External"/>
  <ns0:Relationship Id="rId1160" Type="http://schemas.openxmlformats.org/officeDocument/2006/relationships/hyperlink" Target="https://my.zakupki.prom.ua/remote/dispatcher/state_purchase_view/39356383" TargetMode="External"/>
  <ns0:Relationship Id="rId1161" Type="http://schemas.openxmlformats.org/officeDocument/2006/relationships/hyperlink" Target="https://my.zakupki.prom.ua/remote/dispatcher/state_contracting_view/14925624" TargetMode="External"/>
  <ns0:Relationship Id="rId1162" Type="http://schemas.openxmlformats.org/officeDocument/2006/relationships/hyperlink" Target="https://my.zakupki.prom.ua/remote/dispatcher/state_purchase_view/39549611" TargetMode="External"/>
  <ns0:Relationship Id="rId1163" Type="http://schemas.openxmlformats.org/officeDocument/2006/relationships/hyperlink" Target="https://my.zakupki.prom.ua/remote/dispatcher/state_contracting_view/15017376" TargetMode="External"/>
  <ns0:Relationship Id="rId1164" Type="http://schemas.openxmlformats.org/officeDocument/2006/relationships/hyperlink" Target="https://my.zakupki.prom.ua/remote/dispatcher/state_purchase_view/36487230" TargetMode="External"/>
  <ns0:Relationship Id="rId1165" Type="http://schemas.openxmlformats.org/officeDocument/2006/relationships/hyperlink" Target="https://my.zakupki.prom.ua/remote/dispatcher/state_contracting_view/13556519" TargetMode="External"/>
  <ns0:Relationship Id="rId1166" Type="http://schemas.openxmlformats.org/officeDocument/2006/relationships/hyperlink" Target="https://my.zakupki.prom.ua/remote/dispatcher/state_purchase_view/37940765" TargetMode="External"/>
  <ns0:Relationship Id="rId1167" Type="http://schemas.openxmlformats.org/officeDocument/2006/relationships/hyperlink" Target="https://my.zakupki.prom.ua/remote/dispatcher/state_contracting_view/14258005" TargetMode="External"/>
  <ns0:Relationship Id="rId1168" Type="http://schemas.openxmlformats.org/officeDocument/2006/relationships/hyperlink" Target="https://my.zakupki.prom.ua/remote/dispatcher/state_purchase_view/36720446" TargetMode="External"/>
  <ns0:Relationship Id="rId1169" Type="http://schemas.openxmlformats.org/officeDocument/2006/relationships/hyperlink" Target="https://my.zakupki.prom.ua/remote/dispatcher/state_contracting_view/13667636" TargetMode="External"/>
  <ns0:Relationship Id="rId1170" Type="http://schemas.openxmlformats.org/officeDocument/2006/relationships/hyperlink" Target="https://my.zakupki.prom.ua/remote/dispatcher/state_purchase_view/36752649" TargetMode="External"/>
  <ns0:Relationship Id="rId1171" Type="http://schemas.openxmlformats.org/officeDocument/2006/relationships/hyperlink" Target="https://my.zakupki.prom.ua/remote/dispatcher/state_contracting_view/13682694" TargetMode="External"/>
  <ns0:Relationship Id="rId1172" Type="http://schemas.openxmlformats.org/officeDocument/2006/relationships/hyperlink" Target="https://my.zakupki.prom.ua/remote/dispatcher/state_purchase_view/36753364" TargetMode="External"/>
  <ns0:Relationship Id="rId1173" Type="http://schemas.openxmlformats.org/officeDocument/2006/relationships/hyperlink" Target="https://my.zakupki.prom.ua/remote/dispatcher/state_contracting_view/13683090" TargetMode="External"/>
  <ns0:Relationship Id="rId1174" Type="http://schemas.openxmlformats.org/officeDocument/2006/relationships/hyperlink" Target="https://my.zakupki.prom.ua/remote/dispatcher/state_purchase_view/38152372" TargetMode="External"/>
  <ns0:Relationship Id="rId1175" Type="http://schemas.openxmlformats.org/officeDocument/2006/relationships/hyperlink" Target="https://my.zakupki.prom.ua/remote/dispatcher/state_contracting_view/14367132" TargetMode="External"/>
  <ns0:Relationship Id="rId1176" Type="http://schemas.openxmlformats.org/officeDocument/2006/relationships/hyperlink" Target="https://my.zakupki.prom.ua/remote/dispatcher/state_purchase_view/38209725" TargetMode="External"/>
  <ns0:Relationship Id="rId1177" Type="http://schemas.openxmlformats.org/officeDocument/2006/relationships/hyperlink" Target="https://my.zakupki.prom.ua/remote/dispatcher/state_contracting_view/14394082" TargetMode="External"/>
  <ns0:Relationship Id="rId1178" Type="http://schemas.openxmlformats.org/officeDocument/2006/relationships/hyperlink" Target="https://my.zakupki.prom.ua/remote/dispatcher/state_purchase_view/37330709" TargetMode="External"/>
  <ns0:Relationship Id="rId1179" Type="http://schemas.openxmlformats.org/officeDocument/2006/relationships/hyperlink" Target="https://my.zakupki.prom.ua/remote/dispatcher/state_contracting_view/13959977" TargetMode="External"/>
  <ns0:Relationship Id="rId1180" Type="http://schemas.openxmlformats.org/officeDocument/2006/relationships/hyperlink" Target="https://my.zakupki.prom.ua/remote/dispatcher/state_purchase_view/37555502" TargetMode="External"/>
  <ns0:Relationship Id="rId1181" Type="http://schemas.openxmlformats.org/officeDocument/2006/relationships/hyperlink" Target="https://my.zakupki.prom.ua/remote/dispatcher/state_contracting_view/14068374" TargetMode="External"/>
  <ns0:Relationship Id="rId1182" Type="http://schemas.openxmlformats.org/officeDocument/2006/relationships/hyperlink" Target="https://my.zakupki.prom.ua/remote/dispatcher/state_purchase_view/37708172" TargetMode="External"/>
  <ns0:Relationship Id="rId1183" Type="http://schemas.openxmlformats.org/officeDocument/2006/relationships/hyperlink" Target="https://my.zakupki.prom.ua/remote/dispatcher/state_contracting_view/14143989" TargetMode="External"/>
  <ns0:Relationship Id="rId1184" Type="http://schemas.openxmlformats.org/officeDocument/2006/relationships/hyperlink" Target="https://my.zakupki.prom.ua/remote/dispatcher/state_purchase_view/37720727" TargetMode="External"/>
  <ns0:Relationship Id="rId1185" Type="http://schemas.openxmlformats.org/officeDocument/2006/relationships/hyperlink" Target="https://my.zakupki.prom.ua/remote/dispatcher/state_contracting_view/14150405" TargetMode="External"/>
  <ns0:Relationship Id="rId1186" Type="http://schemas.openxmlformats.org/officeDocument/2006/relationships/hyperlink" Target="https://my.zakupki.prom.ua/remote/dispatcher/state_purchase_view/37719964" TargetMode="External"/>
  <ns0:Relationship Id="rId1187" Type="http://schemas.openxmlformats.org/officeDocument/2006/relationships/hyperlink" Target="https://my.zakupki.prom.ua/remote/dispatcher/state_contracting_view/14150175" TargetMode="External"/>
  <ns0:Relationship Id="rId1188" Type="http://schemas.openxmlformats.org/officeDocument/2006/relationships/hyperlink" Target="https://my.zakupki.prom.ua/remote/dispatcher/state_purchase_view/37071595" TargetMode="External"/>
  <ns0:Relationship Id="rId1189" Type="http://schemas.openxmlformats.org/officeDocument/2006/relationships/hyperlink" Target="https://my.zakupki.prom.ua/remote/dispatcher/state_contracting_view/13833788" TargetMode="External"/>
  <ns0:Relationship Id="rId1190" Type="http://schemas.openxmlformats.org/officeDocument/2006/relationships/hyperlink" Target="https://my.zakupki.prom.ua/remote/dispatcher/state_purchase_view/37071997" TargetMode="External"/>
  <ns0:Relationship Id="rId1191" Type="http://schemas.openxmlformats.org/officeDocument/2006/relationships/hyperlink" Target="https://my.zakupki.prom.ua/remote/dispatcher/state_contracting_view/13834000" TargetMode="External"/>
  <ns0:Relationship Id="rId1192" Type="http://schemas.openxmlformats.org/officeDocument/2006/relationships/hyperlink" Target="https://my.zakupki.prom.ua/remote/dispatcher/state_purchase_view/37279536" TargetMode="External"/>
  <ns0:Relationship Id="rId1193" Type="http://schemas.openxmlformats.org/officeDocument/2006/relationships/hyperlink" Target="https://my.zakupki.prom.ua/remote/dispatcher/state_contracting_view/13934364" TargetMode="External"/>
  <ns0:Relationship Id="rId1194" Type="http://schemas.openxmlformats.org/officeDocument/2006/relationships/hyperlink" Target="https://my.zakupki.prom.ua/remote/dispatcher/state_purchase_view/37859376" TargetMode="External"/>
  <ns0:Relationship Id="rId1195" Type="http://schemas.openxmlformats.org/officeDocument/2006/relationships/hyperlink" Target="https://my.zakupki.prom.ua/remote/dispatcher/state_contracting_view/14218225" TargetMode="External"/>
  <ns0:Relationship Id="rId1196" Type="http://schemas.openxmlformats.org/officeDocument/2006/relationships/hyperlink" Target="https://my.zakupki.prom.ua/remote/dispatcher/state_purchase_view/34550316" TargetMode="External"/>
  <ns0:Relationship Id="rId1197" Type="http://schemas.openxmlformats.org/officeDocument/2006/relationships/hyperlink" Target="https://my.zakupki.prom.ua/remote/dispatcher/state_contracting_view/13090328" TargetMode="External"/>
  <ns0:Relationship Id="rId1198" Type="http://schemas.openxmlformats.org/officeDocument/2006/relationships/hyperlink" Target="https://my.zakupki.prom.ua/remote/dispatcher/state_purchase_view/34887996" TargetMode="External"/>
  <ns0:Relationship Id="rId1199" Type="http://schemas.openxmlformats.org/officeDocument/2006/relationships/hyperlink" Target="https://my.zakupki.prom.ua/remote/dispatcher/state_contracting_view/12752397" TargetMode="External"/>
  <ns0:Relationship Id="rId1200" Type="http://schemas.openxmlformats.org/officeDocument/2006/relationships/hyperlink" Target="https://my.zakupki.prom.ua/remote/dispatcher/state_purchase_view/35691669" TargetMode="External"/>
  <ns0:Relationship Id="rId1201" Type="http://schemas.openxmlformats.org/officeDocument/2006/relationships/hyperlink" Target="https://my.zakupki.prom.ua/remote/dispatcher/state_contracting_view/13146250" TargetMode="External"/>
  <ns0:Relationship Id="rId1202" Type="http://schemas.openxmlformats.org/officeDocument/2006/relationships/hyperlink" Target="https://my.zakupki.prom.ua/remote/dispatcher/state_purchase_view/35704737" TargetMode="External"/>
  <ns0:Relationship Id="rId1203" Type="http://schemas.openxmlformats.org/officeDocument/2006/relationships/hyperlink" Target="https://my.zakupki.prom.ua/remote/dispatcher/state_contracting_view/13153831" TargetMode="External"/>
  <ns0:Relationship Id="rId1204" Type="http://schemas.openxmlformats.org/officeDocument/2006/relationships/hyperlink" Target="https://my.zakupki.prom.ua/remote/dispatcher/state_purchase_view/35704970" TargetMode="External"/>
  <ns0:Relationship Id="rId1205" Type="http://schemas.openxmlformats.org/officeDocument/2006/relationships/hyperlink" Target="https://my.zakupki.prom.ua/remote/dispatcher/state_contracting_view/13153772" TargetMode="External"/>
  <ns0:Relationship Id="rId1206" Type="http://schemas.openxmlformats.org/officeDocument/2006/relationships/hyperlink" Target="https://my.zakupki.prom.ua/remote/dispatcher/state_purchase_view/36227013" TargetMode="External"/>
  <ns0:Relationship Id="rId1207" Type="http://schemas.openxmlformats.org/officeDocument/2006/relationships/hyperlink" Target="https://my.zakupki.prom.ua/remote/dispatcher/state_contracting_view/13423346" TargetMode="External"/>
  <ns0:Relationship Id="rId1208" Type="http://schemas.openxmlformats.org/officeDocument/2006/relationships/hyperlink" Target="https://my.zakupki.prom.ua/remote/dispatcher/state_purchase_view/35947767" TargetMode="External"/>
  <ns0:Relationship Id="rId1209" Type="http://schemas.openxmlformats.org/officeDocument/2006/relationships/hyperlink" Target="https://my.zakupki.prom.ua/remote/dispatcher/state_contracting_view/13279585" TargetMode="External"/>
  <ns0:Relationship Id="rId1210" Type="http://schemas.openxmlformats.org/officeDocument/2006/relationships/hyperlink" Target="https://my.zakupki.prom.ua/remote/dispatcher/state_purchase_view/38507006" TargetMode="External"/>
  <ns0:Relationship Id="rId1211" Type="http://schemas.openxmlformats.org/officeDocument/2006/relationships/hyperlink" Target="https://my.zakupki.prom.ua/remote/dispatcher/state_contracting_view/14533745" TargetMode="External"/>
  <ns0:Relationship Id="rId1212" Type="http://schemas.openxmlformats.org/officeDocument/2006/relationships/hyperlink" Target="https://my.zakupki.prom.ua/remote/dispatcher/state_purchase_view/38166362" TargetMode="External"/>
  <ns0:Relationship Id="rId1213" Type="http://schemas.openxmlformats.org/officeDocument/2006/relationships/hyperlink" Target="https://my.zakupki.prom.ua/remote/dispatcher/state_purchase_lot_view/771703" TargetMode="External"/>
  <ns0:Relationship Id="rId1214" Type="http://schemas.openxmlformats.org/officeDocument/2006/relationships/hyperlink" Target="https://my.zakupki.prom.ua/remote/dispatcher/state_contracting_view/14551638" TargetMode="External"/>
  <ns0:Relationship Id="rId1215" Type="http://schemas.openxmlformats.org/officeDocument/2006/relationships/hyperlink" Target="https://my.zakupki.prom.ua/remote/dispatcher/state_purchase_view/38540200" TargetMode="External"/>
  <ns0:Relationship Id="rId1216" Type="http://schemas.openxmlformats.org/officeDocument/2006/relationships/hyperlink" Target="https://my.zakupki.prom.ua/remote/dispatcher/state_contracting_view/14548938" TargetMode="External"/>
  <ns0:Relationship Id="rId1217" Type="http://schemas.openxmlformats.org/officeDocument/2006/relationships/hyperlink" Target="https://my.zakupki.prom.ua/remote/dispatcher/state_purchase_view/39240427" TargetMode="External"/>
  <ns0:Relationship Id="rId1218" Type="http://schemas.openxmlformats.org/officeDocument/2006/relationships/hyperlink" Target="https://my.zakupki.prom.ua/remote/dispatcher/state_contracting_view/14871055" TargetMode="External"/>
  <ns0:Relationship Id="rId1219" Type="http://schemas.openxmlformats.org/officeDocument/2006/relationships/hyperlink" Target="https://my.zakupki.prom.ua/remote/dispatcher/state_purchase_view/39777515" TargetMode="External"/>
  <ns0:Relationship Id="rId1220" Type="http://schemas.openxmlformats.org/officeDocument/2006/relationships/hyperlink" Target="https://my.zakupki.prom.ua/remote/dispatcher/state_contracting_view/15128244" TargetMode="External"/>
  <ns0:Relationship Id="rId1221" Type="http://schemas.openxmlformats.org/officeDocument/2006/relationships/hyperlink" Target="https://my.zakupki.prom.ua/remote/dispatcher/state_purchase_view/39780823" TargetMode="External"/>
  <ns0:Relationship Id="rId1222" Type="http://schemas.openxmlformats.org/officeDocument/2006/relationships/hyperlink" Target="https://my.zakupki.prom.ua/remote/dispatcher/state_contracting_view/15129910" TargetMode="External"/>
  <ns0:Relationship Id="rId1223" Type="http://schemas.openxmlformats.org/officeDocument/2006/relationships/hyperlink" Target="https://my.zakupki.prom.ua/remote/dispatcher/state_purchase_view/36525576" TargetMode="External"/>
  <ns0:Relationship Id="rId1224" Type="http://schemas.openxmlformats.org/officeDocument/2006/relationships/hyperlink" Target="https://my.zakupki.prom.ua/remote/dispatcher/state_contracting_view/13575294" TargetMode="External"/>
  <ns0:Relationship Id="rId1225" Type="http://schemas.openxmlformats.org/officeDocument/2006/relationships/hyperlink" Target="https://my.zakupki.prom.ua/remote/dispatcher/state_purchase_view/36524921" TargetMode="External"/>
  <ns0:Relationship Id="rId1226" Type="http://schemas.openxmlformats.org/officeDocument/2006/relationships/hyperlink" Target="https://my.zakupki.prom.ua/remote/dispatcher/state_contracting_view/13574997" TargetMode="External"/>
  <ns0:Relationship Id="rId1227" Type="http://schemas.openxmlformats.org/officeDocument/2006/relationships/hyperlink" Target="https://my.zakupki.prom.ua/remote/dispatcher/state_purchase_view/38387534" TargetMode="External"/>
  <ns0:Relationship Id="rId1228" Type="http://schemas.openxmlformats.org/officeDocument/2006/relationships/hyperlink" Target="https://my.zakupki.prom.ua/remote/dispatcher/state_contracting_view/14479300" TargetMode="External"/>
  <ns0:Relationship Id="rId1229" Type="http://schemas.openxmlformats.org/officeDocument/2006/relationships/hyperlink" Target="https://my.zakupki.prom.ua/remote/dispatcher/state_purchase_view/38387411" TargetMode="External"/>
  <ns0:Relationship Id="rId1230" Type="http://schemas.openxmlformats.org/officeDocument/2006/relationships/hyperlink" Target="https://my.zakupki.prom.ua/remote/dispatcher/state_contracting_view/14479461" TargetMode="External"/>
  <ns0:Relationship Id="rId1231" Type="http://schemas.openxmlformats.org/officeDocument/2006/relationships/hyperlink" Target="https://my.zakupki.prom.ua/remote/dispatcher/state_purchase_view/38146447" TargetMode="External"/>
  <ns0:Relationship Id="rId1232" Type="http://schemas.openxmlformats.org/officeDocument/2006/relationships/hyperlink" Target="https://my.zakupki.prom.ua/remote/dispatcher/state_purchase_lot_view/771139" TargetMode="External"/>
  <ns0:Relationship Id="rId1233" Type="http://schemas.openxmlformats.org/officeDocument/2006/relationships/hyperlink" Target="https://my.zakupki.prom.ua/remote/dispatcher/state_contracting_view/14554780" TargetMode="External"/>
  <ns0:Relationship Id="rId1234" Type="http://schemas.openxmlformats.org/officeDocument/2006/relationships/hyperlink" Target="https://my.zakupki.prom.ua/remote/dispatcher/state_purchase_view/38591496" TargetMode="External"/>
  <ns0:Relationship Id="rId1235" Type="http://schemas.openxmlformats.org/officeDocument/2006/relationships/hyperlink" Target="https://my.zakupki.prom.ua/remote/dispatcher/state_contracting_view/14573030" TargetMode="External"/>
  <ns0:Relationship Id="rId1236" Type="http://schemas.openxmlformats.org/officeDocument/2006/relationships/hyperlink" Target="https://my.zakupki.prom.ua/remote/dispatcher/state_purchase_view/38610366" TargetMode="External"/>
  <ns0:Relationship Id="rId1237" Type="http://schemas.openxmlformats.org/officeDocument/2006/relationships/hyperlink" Target="https://my.zakupki.prom.ua/remote/dispatcher/state_purchase_lot_view/788630" TargetMode="External"/>
  <ns0:Relationship Id="rId1238" Type="http://schemas.openxmlformats.org/officeDocument/2006/relationships/hyperlink" Target="https://my.zakupki.prom.ua/remote/dispatcher/state_contracting_view/14807386" TargetMode="External"/>
  <ns0:Relationship Id="rId1239" Type="http://schemas.openxmlformats.org/officeDocument/2006/relationships/hyperlink" Target="https://my.zakupki.prom.ua/remote/dispatcher/state_purchase_view/39741938" TargetMode="External"/>
  <ns0:Relationship Id="rId1240" Type="http://schemas.openxmlformats.org/officeDocument/2006/relationships/hyperlink" Target="https://my.zakupki.prom.ua/remote/dispatcher/state_contracting_view/15110690" TargetMode="External"/>
  <ns0:Relationship Id="rId1241" Type="http://schemas.openxmlformats.org/officeDocument/2006/relationships/hyperlink" Target="https://my.zakupki.prom.ua/remote/dispatcher/state_purchase_view/35615560" TargetMode="External"/>
  <ns0:Relationship Id="rId1242" Type="http://schemas.openxmlformats.org/officeDocument/2006/relationships/hyperlink" Target="https://my.zakupki.prom.ua/remote/dispatcher/state_contracting_view/13105481" TargetMode="External"/>
  <ns0:Relationship Id="rId1243" Type="http://schemas.openxmlformats.org/officeDocument/2006/relationships/hyperlink" Target="https://my.zakupki.prom.ua/remote/dispatcher/state_purchase_view/36034032" TargetMode="External"/>
  <ns0:Relationship Id="rId1244" Type="http://schemas.openxmlformats.org/officeDocument/2006/relationships/hyperlink" Target="https://my.zakupki.prom.ua/remote/dispatcher/state_contracting_view/13325181" TargetMode="External"/>
  <ns0:Relationship Id="rId1245" Type="http://schemas.openxmlformats.org/officeDocument/2006/relationships/hyperlink" Target="https://my.zakupki.prom.ua/remote/dispatcher/state_purchase_view/36140320" TargetMode="External"/>
  <ns0:Relationship Id="rId1246" Type="http://schemas.openxmlformats.org/officeDocument/2006/relationships/hyperlink" Target="https://my.zakupki.prom.ua/remote/dispatcher/state_contracting_view/13378745" TargetMode="External"/>
  <ns0:Relationship Id="rId1247" Type="http://schemas.openxmlformats.org/officeDocument/2006/relationships/hyperlink" Target="https://my.zakupki.prom.ua/remote/dispatcher/state_purchase_view/36189582" TargetMode="External"/>
  <ns0:Relationship Id="rId1248" Type="http://schemas.openxmlformats.org/officeDocument/2006/relationships/hyperlink" Target="https://my.zakupki.prom.ua/remote/dispatcher/state_contracting_view/13404316" TargetMode="External"/>
  <ns0:Relationship Id="rId1249" Type="http://schemas.openxmlformats.org/officeDocument/2006/relationships/hyperlink" Target="https://my.zakupki.prom.ua/remote/dispatcher/state_purchase_view/35685848" TargetMode="External"/>
  <ns0:Relationship Id="rId1250" Type="http://schemas.openxmlformats.org/officeDocument/2006/relationships/hyperlink" Target="https://my.zakupki.prom.ua/remote/dispatcher/state_contracting_view/13143191" TargetMode="External"/>
  <ns0:Relationship Id="rId1251" Type="http://schemas.openxmlformats.org/officeDocument/2006/relationships/hyperlink" Target="https://my.zakupki.prom.ua/remote/dispatcher/state_purchase_view/36405363" TargetMode="External"/>
  <ns0:Relationship Id="rId1252" Type="http://schemas.openxmlformats.org/officeDocument/2006/relationships/hyperlink" Target="https://my.zakupki.prom.ua/remote/dispatcher/state_contracting_view/13514599" TargetMode="External"/>
  <ns0:Relationship Id="rId1253" Type="http://schemas.openxmlformats.org/officeDocument/2006/relationships/hyperlink" Target="https://my.zakupki.prom.ua/remote/dispatcher/state_purchase_view/35222595" TargetMode="External"/>
  <ns0:Relationship Id="rId1254" Type="http://schemas.openxmlformats.org/officeDocument/2006/relationships/hyperlink" Target="https://my.zakupki.prom.ua/remote/dispatcher/state_contracting_view/12914291" TargetMode="External"/>
  <ns0:Relationship Id="rId1255" Type="http://schemas.openxmlformats.org/officeDocument/2006/relationships/hyperlink" Target="https://my.zakupki.prom.ua/remote/dispatcher/state_purchase_view/36347173" TargetMode="External"/>
  <ns0:Relationship Id="rId1256" Type="http://schemas.openxmlformats.org/officeDocument/2006/relationships/hyperlink" Target="https://my.zakupki.prom.ua/remote/dispatcher/state_contracting_view/13484882" TargetMode="External"/>
  <ns0:Relationship Id="rId1257" Type="http://schemas.openxmlformats.org/officeDocument/2006/relationships/hyperlink" Target="https://my.zakupki.prom.ua/remote/dispatcher/state_purchase_view/37112390" TargetMode="External"/>
  <ns0:Relationship Id="rId1258" Type="http://schemas.openxmlformats.org/officeDocument/2006/relationships/hyperlink" Target="https://my.zakupki.prom.ua/remote/dispatcher/state_contracting_view/13938138" TargetMode="External"/>
  <ns0:Relationship Id="rId1259" Type="http://schemas.openxmlformats.org/officeDocument/2006/relationships/hyperlink" Target="https://my.zakupki.prom.ua/remote/dispatcher/state_purchase_view/36421932" TargetMode="External"/>
  <ns0:Relationship Id="rId1260" Type="http://schemas.openxmlformats.org/officeDocument/2006/relationships/hyperlink" Target="https://my.zakupki.prom.ua/remote/dispatcher/state_contracting_view/13523259" TargetMode="External"/>
  <ns0:Relationship Id="rId1261" Type="http://schemas.openxmlformats.org/officeDocument/2006/relationships/hyperlink" Target="https://my.zakupki.prom.ua/remote/dispatcher/state_purchase_view/38406435" TargetMode="External"/>
  <ns0:Relationship Id="rId1262" Type="http://schemas.openxmlformats.org/officeDocument/2006/relationships/hyperlink" Target="https://my.zakupki.prom.ua/remote/dispatcher/state_contracting_view/14494924" TargetMode="External"/>
  <ns0:Relationship Id="rId1263" Type="http://schemas.openxmlformats.org/officeDocument/2006/relationships/hyperlink" Target="https://my.zakupki.prom.ua/remote/dispatcher/state_purchase_view/38776842" TargetMode="External"/>
  <ns0:Relationship Id="rId1264" Type="http://schemas.openxmlformats.org/officeDocument/2006/relationships/hyperlink" Target="https://my.zakupki.prom.ua/remote/dispatcher/state_contracting_view/14658763" TargetMode="External"/>
  <ns0:Relationship Id="rId1265" Type="http://schemas.openxmlformats.org/officeDocument/2006/relationships/hyperlink" Target="https://my.zakupki.prom.ua/remote/dispatcher/state_purchase_view/37782563" TargetMode="External"/>
  <ns0:Relationship Id="rId1266" Type="http://schemas.openxmlformats.org/officeDocument/2006/relationships/hyperlink" Target="https://my.zakupki.prom.ua/remote/dispatcher/state_contracting_view/14180900" TargetMode="External"/>
  <ns0:Relationship Id="rId1267" Type="http://schemas.openxmlformats.org/officeDocument/2006/relationships/hyperlink" Target="https://my.zakupki.prom.ua/remote/dispatcher/state_purchase_view/38018391" TargetMode="External"/>
  <ns0:Relationship Id="rId1268" Type="http://schemas.openxmlformats.org/officeDocument/2006/relationships/hyperlink" Target="https://my.zakupki.prom.ua/remote/dispatcher/state_contracting_view/14463445" TargetMode="External"/>
  <ns0:Relationship Id="rId1269" Type="http://schemas.openxmlformats.org/officeDocument/2006/relationships/hyperlink" Target="https://my.zakupki.prom.ua/remote/dispatcher/state_purchase_view/37224446" TargetMode="External"/>
  <ns0:Relationship Id="rId1270" Type="http://schemas.openxmlformats.org/officeDocument/2006/relationships/hyperlink" Target="https://my.zakupki.prom.ua/remote/dispatcher/state_contracting_view/13907353" TargetMode="External"/>
  <ns0:Relationship Id="rId1271" Type="http://schemas.openxmlformats.org/officeDocument/2006/relationships/hyperlink" Target="https://my.zakupki.prom.ua/remote/dispatcher/state_purchase_view/38055247" TargetMode="External"/>
  <ns0:Relationship Id="rId1272" Type="http://schemas.openxmlformats.org/officeDocument/2006/relationships/hyperlink" Target="https://my.zakupki.prom.ua/remote/dispatcher/state_contracting_view/14314090" TargetMode="External"/>
  <ns0:Relationship Id="rId1273" Type="http://schemas.openxmlformats.org/officeDocument/2006/relationships/hyperlink" Target="https://my.zakupki.prom.ua/remote/dispatcher/state_purchase_view/37220837" TargetMode="External"/>
  <ns0:Relationship Id="rId1274" Type="http://schemas.openxmlformats.org/officeDocument/2006/relationships/hyperlink" Target="https://my.zakupki.prom.ua/remote/dispatcher/state_contracting_view/13997245" TargetMode="External"/>
  <ns0:Relationship Id="rId1275" Type="http://schemas.openxmlformats.org/officeDocument/2006/relationships/hyperlink" Target="https://my.zakupki.prom.ua/remote/dispatcher/state_purchase_view/37346826" TargetMode="External"/>
  <ns0:Relationship Id="rId1276" Type="http://schemas.openxmlformats.org/officeDocument/2006/relationships/hyperlink" Target="https://my.zakupki.prom.ua/remote/dispatcher/state_contracting_view/13967183" TargetMode="External"/>
  <ns0:Relationship Id="rId1277" Type="http://schemas.openxmlformats.org/officeDocument/2006/relationships/hyperlink" Target="https://my.zakupki.prom.ua/remote/dispatcher/state_purchase_view/37383215" TargetMode="External"/>
  <ns0:Relationship Id="rId1278" Type="http://schemas.openxmlformats.org/officeDocument/2006/relationships/hyperlink" Target="https://my.zakupki.prom.ua/remote/dispatcher/state_contracting_view/14131165" TargetMode="External"/>
  <ns0:Relationship Id="rId1279" Type="http://schemas.openxmlformats.org/officeDocument/2006/relationships/hyperlink" Target="https://my.zakupki.prom.ua/remote/dispatcher/state_purchase_view/37683478" TargetMode="External"/>
  <ns0:Relationship Id="rId1280" Type="http://schemas.openxmlformats.org/officeDocument/2006/relationships/hyperlink" Target="https://my.zakupki.prom.ua/remote/dispatcher/state_contracting_view/14131620" TargetMode="External"/>
  <ns0:Relationship Id="rId1281" Type="http://schemas.openxmlformats.org/officeDocument/2006/relationships/hyperlink" Target="https://my.zakupki.prom.ua/remote/dispatcher/state_purchase_view/37435840" TargetMode="External"/>
  <ns0:Relationship Id="rId1282" Type="http://schemas.openxmlformats.org/officeDocument/2006/relationships/hyperlink" Target="https://my.zakupki.prom.ua/remote/dispatcher/state_contracting_view/14164404" TargetMode="External"/>
  <ns0:Relationship Id="rId1283" Type="http://schemas.openxmlformats.org/officeDocument/2006/relationships/hyperlink" Target="https://my.zakupki.prom.ua/remote/dispatcher/state_purchase_view/37499863" TargetMode="External"/>
  <ns0:Relationship Id="rId1284" Type="http://schemas.openxmlformats.org/officeDocument/2006/relationships/hyperlink" Target="https://my.zakupki.prom.ua/remote/dispatcher/state_contracting_view/14201906" TargetMode="External"/>
  <ns0:Relationship Id="rId1285" Type="http://schemas.openxmlformats.org/officeDocument/2006/relationships/hyperlink" Target="https://my.zakupki.prom.ua/remote/dispatcher/state_purchase_view/37774046" TargetMode="External"/>
  <ns0:Relationship Id="rId1286" Type="http://schemas.openxmlformats.org/officeDocument/2006/relationships/hyperlink" Target="https://my.zakupki.prom.ua/remote/dispatcher/state_contracting_view/14176632" TargetMode="External"/>
  <ns0:Relationship Id="rId1287" Type="http://schemas.openxmlformats.org/officeDocument/2006/relationships/hyperlink" Target="https://my.zakupki.prom.ua/remote/dispatcher/state_purchase_view/37593387" TargetMode="External"/>
  <ns0:Relationship Id="rId1288" Type="http://schemas.openxmlformats.org/officeDocument/2006/relationships/hyperlink" Target="https://my.zakupki.prom.ua/remote/dispatcher/state_contracting_view/14087125" TargetMode="External"/>
  <ns0:Relationship Id="rId1289" Type="http://schemas.openxmlformats.org/officeDocument/2006/relationships/hyperlink" Target="https://my.zakupki.prom.ua/remote/dispatcher/state_purchase_view/36954984" TargetMode="External"/>
  <ns0:Relationship Id="rId1290" Type="http://schemas.openxmlformats.org/officeDocument/2006/relationships/hyperlink" Target="https://my.zakupki.prom.ua/remote/dispatcher/state_contracting_view/13889360" TargetMode="External"/>
  <ns0:Relationship Id="rId1291" Type="http://schemas.openxmlformats.org/officeDocument/2006/relationships/hyperlink" Target="https://my.zakupki.prom.ua/remote/dispatcher/state_purchase_view/38045889" TargetMode="External"/>
  <ns0:Relationship Id="rId1292" Type="http://schemas.openxmlformats.org/officeDocument/2006/relationships/hyperlink" Target="https://my.zakupki.prom.ua/remote/dispatcher/state_contracting_view/14309409" TargetMode="External"/>
  <ns0:Relationship Id="rId1293" Type="http://schemas.openxmlformats.org/officeDocument/2006/relationships/hyperlink" Target="https://my.zakupki.prom.ua/remote/dispatcher/state_purchase_view/37347249" TargetMode="External"/>
  <ns0:Relationship Id="rId1294" Type="http://schemas.openxmlformats.org/officeDocument/2006/relationships/hyperlink" Target="https://my.zakupki.prom.ua/remote/dispatcher/state_contracting_view/13967429" TargetMode="External"/>
  <ns0:Relationship Id="rId1295" Type="http://schemas.openxmlformats.org/officeDocument/2006/relationships/hyperlink" Target="https://my.zakupki.prom.ua/remote/dispatcher/state_purchase_view/38234405" TargetMode="External"/>
  <ns0:Relationship Id="rId1296" Type="http://schemas.openxmlformats.org/officeDocument/2006/relationships/hyperlink" Target="https://my.zakupki.prom.ua/remote/dispatcher/state_contracting_view/14405492" TargetMode="External"/>
  <ns0:Relationship Id="rId1297" Type="http://schemas.openxmlformats.org/officeDocument/2006/relationships/hyperlink" Target="https://my.zakupki.prom.ua/remote/dispatcher/state_purchase_view/37918353" TargetMode="External"/>
  <ns0:Relationship Id="rId1298" Type="http://schemas.openxmlformats.org/officeDocument/2006/relationships/hyperlink" Target="https://my.zakupki.prom.ua/remote/dispatcher/state_contracting_view/14246924" TargetMode="External"/>
  <ns0:Relationship Id="rId1299" Type="http://schemas.openxmlformats.org/officeDocument/2006/relationships/hyperlink" Target="https://my.zakupki.prom.ua/remote/dispatcher/state_purchase_view/37563853" TargetMode="External"/>
  <ns0:Relationship Id="rId1300" Type="http://schemas.openxmlformats.org/officeDocument/2006/relationships/hyperlink" Target="https://my.zakupki.prom.ua/remote/dispatcher/state_contracting_view/14072397" TargetMode="External"/>
  <ns0:Relationship Id="rId1301" Type="http://schemas.openxmlformats.org/officeDocument/2006/relationships/hyperlink" Target="https://my.zakupki.prom.ua/remote/dispatcher/state_purchase_view/37514701" TargetMode="External"/>
  <ns0:Relationship Id="rId1302" Type="http://schemas.openxmlformats.org/officeDocument/2006/relationships/hyperlink" Target="https://my.zakupki.prom.ua/remote/dispatcher/state_contracting_view/14217155" TargetMode="External"/>
  <ns0:Relationship Id="rId1303" Type="http://schemas.openxmlformats.org/officeDocument/2006/relationships/hyperlink" Target="https://my.zakupki.prom.ua/remote/dispatcher/state_purchase_view/37856608" TargetMode="External"/>
  <ns0:Relationship Id="rId1304" Type="http://schemas.openxmlformats.org/officeDocument/2006/relationships/hyperlink" Target="https://my.zakupki.prom.ua/remote/dispatcher/state_contracting_view/14216992" TargetMode="External"/>
  <ns0:Relationship Id="rId1305" Type="http://schemas.openxmlformats.org/officeDocument/2006/relationships/hyperlink" Target="https://my.zakupki.prom.ua/remote/dispatcher/state_purchase_view/36535912" TargetMode="External"/>
  <ns0:Relationship Id="rId1306" Type="http://schemas.openxmlformats.org/officeDocument/2006/relationships/hyperlink" Target="https://my.zakupki.prom.ua/remote/dispatcher/state_contracting_view/13580201" TargetMode="External"/>
  <ns0:Relationship Id="rId1307" Type="http://schemas.openxmlformats.org/officeDocument/2006/relationships/hyperlink" Target="https://my.zakupki.prom.ua/remote/dispatcher/state_purchase_view/35792685" TargetMode="External"/>
  <ns0:Relationship Id="rId1308" Type="http://schemas.openxmlformats.org/officeDocument/2006/relationships/hyperlink" Target="https://my.zakupki.prom.ua/remote/dispatcher/state_contracting_view/13199685" TargetMode="External"/>
  <ns0:Relationship Id="rId1309" Type="http://schemas.openxmlformats.org/officeDocument/2006/relationships/hyperlink" Target="https://my.zakupki.prom.ua/remote/dispatcher/state_purchase_view/37187603" TargetMode="External"/>
  <ns0:Relationship Id="rId1310" Type="http://schemas.openxmlformats.org/officeDocument/2006/relationships/hyperlink" Target="https://my.zakupki.prom.ua/remote/dispatcher/state_contracting_view/13889516" TargetMode="External"/>
  <ns0:Relationship Id="rId1311" Type="http://schemas.openxmlformats.org/officeDocument/2006/relationships/hyperlink" Target="https://my.zakupki.prom.ua/remote/dispatcher/state_purchase_view/36820027" TargetMode="External"/>
  <ns0:Relationship Id="rId1312" Type="http://schemas.openxmlformats.org/officeDocument/2006/relationships/hyperlink" Target="https://my.zakupki.prom.ua/remote/dispatcher/state_contracting_view/13714457" TargetMode="External"/>
  <ns0:Relationship Id="rId1313" Type="http://schemas.openxmlformats.org/officeDocument/2006/relationships/hyperlink" Target="https://my.zakupki.prom.ua/remote/dispatcher/state_purchase_view/36644789" TargetMode="External"/>
  <ns0:Relationship Id="rId1314" Type="http://schemas.openxmlformats.org/officeDocument/2006/relationships/hyperlink" Target="https://my.zakupki.prom.ua/remote/dispatcher/state_contracting_view/13632664" TargetMode="External"/>
  <ns0:Relationship Id="rId1315" Type="http://schemas.openxmlformats.org/officeDocument/2006/relationships/hyperlink" Target="https://my.zakupki.prom.ua/remote/dispatcher/state_purchase_view/36730808" TargetMode="External"/>
  <ns0:Relationship Id="rId1316" Type="http://schemas.openxmlformats.org/officeDocument/2006/relationships/hyperlink" Target="https://my.zakupki.prom.ua/remote/dispatcher/state_contracting_view/13672400" TargetMode="External"/>
  <ns0:Relationship Id="rId1317" Type="http://schemas.openxmlformats.org/officeDocument/2006/relationships/hyperlink" Target="https://my.zakupki.prom.ua/remote/dispatcher/state_purchase_view/36279274" TargetMode="External"/>
  <ns0:Relationship Id="rId1318" Type="http://schemas.openxmlformats.org/officeDocument/2006/relationships/hyperlink" Target="https://my.zakupki.prom.ua/remote/dispatcher/state_contracting_view/13450260" TargetMode="External"/>
  <ns0:Relationship Id="rId1319" Type="http://schemas.openxmlformats.org/officeDocument/2006/relationships/hyperlink" Target="https://my.zakupki.prom.ua/remote/dispatcher/state_purchase_view/36241327" TargetMode="External"/>
  <ns0:Relationship Id="rId1320" Type="http://schemas.openxmlformats.org/officeDocument/2006/relationships/hyperlink" Target="https://my.zakupki.prom.ua/remote/dispatcher/state_contracting_view/13430977" TargetMode="External"/>
  <ns0:Relationship Id="rId1321" Type="http://schemas.openxmlformats.org/officeDocument/2006/relationships/hyperlink" Target="https://my.zakupki.prom.ua/remote/dispatcher/state_purchase_view/36520212" TargetMode="External"/>
  <ns0:Relationship Id="rId1322" Type="http://schemas.openxmlformats.org/officeDocument/2006/relationships/hyperlink" Target="https://my.zakupki.prom.ua/remote/dispatcher/state_contracting_view/13572258" TargetMode="External"/>
  <ns0:Relationship Id="rId1323" Type="http://schemas.openxmlformats.org/officeDocument/2006/relationships/hyperlink" Target="https://my.zakupki.prom.ua/remote/dispatcher/state_purchase_view/36842202" TargetMode="External"/>
  <ns0:Relationship Id="rId1324" Type="http://schemas.openxmlformats.org/officeDocument/2006/relationships/hyperlink" Target="https://my.zakupki.prom.ua/remote/dispatcher/state_contracting_view/13724596" TargetMode="External"/>
  <ns0:Relationship Id="rId1325" Type="http://schemas.openxmlformats.org/officeDocument/2006/relationships/hyperlink" Target="https://my.zakupki.prom.ua/remote/dispatcher/state_purchase_view/36728463" TargetMode="External"/>
  <ns0:Relationship Id="rId1326" Type="http://schemas.openxmlformats.org/officeDocument/2006/relationships/hyperlink" Target="https://my.zakupki.prom.ua/remote/dispatcher/state_contracting_view/13782772" TargetMode="External"/>
  <ns0:Relationship Id="rId1327" Type="http://schemas.openxmlformats.org/officeDocument/2006/relationships/hyperlink" Target="https://my.zakupki.prom.ua/remote/dispatcher/state_purchase_view/36789620" TargetMode="External"/>
  <ns0:Relationship Id="rId1328" Type="http://schemas.openxmlformats.org/officeDocument/2006/relationships/hyperlink" Target="https://my.zakupki.prom.ua/remote/dispatcher/state_contracting_view/13783369" TargetMode="External"/>
  <ns0:Relationship Id="rId1329" Type="http://schemas.openxmlformats.org/officeDocument/2006/relationships/hyperlink" Target="https://my.zakupki.prom.ua/remote/dispatcher/state_purchase_view/36385493" TargetMode="External"/>
  <ns0:Relationship Id="rId1330" Type="http://schemas.openxmlformats.org/officeDocument/2006/relationships/hyperlink" Target="https://my.zakupki.prom.ua/remote/dispatcher/state_contracting_view/13504775" TargetMode="External"/>
  <ns0:Relationship Id="rId1331" Type="http://schemas.openxmlformats.org/officeDocument/2006/relationships/hyperlink" Target="https://my.zakupki.prom.ua/remote/dispatcher/state_purchase_view/36361789" TargetMode="External"/>
  <ns0:Relationship Id="rId1332" Type="http://schemas.openxmlformats.org/officeDocument/2006/relationships/hyperlink" Target="https://my.zakupki.prom.ua/remote/dispatcher/state_contracting_view/13492523" TargetMode="External"/>
  <ns0:Relationship Id="rId1333" Type="http://schemas.openxmlformats.org/officeDocument/2006/relationships/hyperlink" Target="https://my.zakupki.prom.ua/remote/dispatcher/state_purchase_view/36387679" TargetMode="External"/>
  <ns0:Relationship Id="rId1334" Type="http://schemas.openxmlformats.org/officeDocument/2006/relationships/hyperlink" Target="https://my.zakupki.prom.ua/remote/dispatcher/state_contracting_view/13505836" TargetMode="External"/>
  <ns0:Relationship Id="rId1335" Type="http://schemas.openxmlformats.org/officeDocument/2006/relationships/hyperlink" Target="https://my.zakupki.prom.ua/remote/dispatcher/state_purchase_view/36387939" TargetMode="External"/>
  <ns0:Relationship Id="rId1336" Type="http://schemas.openxmlformats.org/officeDocument/2006/relationships/hyperlink" Target="https://my.zakupki.prom.ua/remote/dispatcher/state_contracting_view/13506084" TargetMode="External"/>
  <ns0:Relationship Id="rId1337" Type="http://schemas.openxmlformats.org/officeDocument/2006/relationships/hyperlink" Target="https://my.zakupki.prom.ua/remote/dispatcher/state_purchase_view/36740160" TargetMode="External"/>
  <ns0:Relationship Id="rId1338" Type="http://schemas.openxmlformats.org/officeDocument/2006/relationships/hyperlink" Target="https://my.zakupki.prom.ua/remote/dispatcher/state_contracting_view/13676989" TargetMode="External"/>
  <ns0:Relationship Id="rId1339" Type="http://schemas.openxmlformats.org/officeDocument/2006/relationships/hyperlink" Target="https://my.zakupki.prom.ua/remote/dispatcher/state_purchase_view/36842050" TargetMode="External"/>
  <ns0:Relationship Id="rId1340" Type="http://schemas.openxmlformats.org/officeDocument/2006/relationships/hyperlink" Target="https://my.zakupki.prom.ua/remote/dispatcher/state_contracting_view/13724487" TargetMode="External"/>
  <ns0:Relationship Id="rId1341" Type="http://schemas.openxmlformats.org/officeDocument/2006/relationships/hyperlink" Target="https://my.zakupki.prom.ua/remote/dispatcher/state_purchase_view/36429281" TargetMode="External"/>
  <ns0:Relationship Id="rId1342" Type="http://schemas.openxmlformats.org/officeDocument/2006/relationships/hyperlink" Target="https://my.zakupki.prom.ua/remote/dispatcher/state_contracting_view/13526994" TargetMode="External"/>
  <ns0:Relationship Id="rId1343" Type="http://schemas.openxmlformats.org/officeDocument/2006/relationships/hyperlink" Target="https://my.zakupki.prom.ua/remote/dispatcher/state_purchase_view/36613118" TargetMode="External"/>
  <ns0:Relationship Id="rId1344" Type="http://schemas.openxmlformats.org/officeDocument/2006/relationships/hyperlink" Target="https://my.zakupki.prom.ua/remote/dispatcher/state_contracting_view/13617902" TargetMode="External"/>
  <ns0:Relationship Id="rId1345" Type="http://schemas.openxmlformats.org/officeDocument/2006/relationships/hyperlink" Target="https://my.zakupki.prom.ua/remote/dispatcher/state_purchase_view/36290108" TargetMode="External"/>
  <ns0:Relationship Id="rId1346" Type="http://schemas.openxmlformats.org/officeDocument/2006/relationships/hyperlink" Target="https://my.zakupki.prom.ua/remote/dispatcher/state_contracting_view/13456249" TargetMode="External"/>
  <ns0:Relationship Id="rId1347" Type="http://schemas.openxmlformats.org/officeDocument/2006/relationships/hyperlink" Target="https://my.zakupki.prom.ua/remote/dispatcher/state_purchase_view/36326410" TargetMode="External"/>
  <ns0:Relationship Id="rId1348" Type="http://schemas.openxmlformats.org/officeDocument/2006/relationships/hyperlink" Target="https://my.zakupki.prom.ua/remote/dispatcher/state_contracting_view/13474548" TargetMode="External"/>
  <ns0:Relationship Id="rId1349" Type="http://schemas.openxmlformats.org/officeDocument/2006/relationships/hyperlink" Target="https://my.zakupki.prom.ua/remote/dispatcher/state_purchase_view/36347911" TargetMode="External"/>
  <ns0:Relationship Id="rId1350" Type="http://schemas.openxmlformats.org/officeDocument/2006/relationships/hyperlink" Target="https://my.zakupki.prom.ua/remote/dispatcher/state_contracting_view/13485333" TargetMode="External"/>
  <ns0:Relationship Id="rId1351" Type="http://schemas.openxmlformats.org/officeDocument/2006/relationships/hyperlink" Target="https://my.zakupki.prom.ua/remote/dispatcher/state_purchase_view/36624129" TargetMode="External"/>
  <ns0:Relationship Id="rId1352" Type="http://schemas.openxmlformats.org/officeDocument/2006/relationships/hyperlink" Target="https://my.zakupki.prom.ua/remote/dispatcher/state_contracting_view/13624051" TargetMode="External"/>
  <ns0:Relationship Id="rId1353" Type="http://schemas.openxmlformats.org/officeDocument/2006/relationships/hyperlink" Target="https://my.zakupki.prom.ua/remote/dispatcher/state_purchase_view/36926459" TargetMode="External"/>
  <ns0:Relationship Id="rId1354" Type="http://schemas.openxmlformats.org/officeDocument/2006/relationships/hyperlink" Target="https://my.zakupki.prom.ua/remote/dispatcher/state_contracting_view/13764663" TargetMode="External"/>
  <ns0:Relationship Id="rId1355" Type="http://schemas.openxmlformats.org/officeDocument/2006/relationships/hyperlink" Target="https://my.zakupki.prom.ua/remote/dispatcher/state_purchase_view/36772015" TargetMode="External"/>
  <ns0:Relationship Id="rId1356" Type="http://schemas.openxmlformats.org/officeDocument/2006/relationships/hyperlink" Target="https://my.zakupki.prom.ua/remote/dispatcher/state_contracting_view/13691583" TargetMode="External"/>
  <ns0:Relationship Id="rId1357" Type="http://schemas.openxmlformats.org/officeDocument/2006/relationships/hyperlink" Target="https://my.zakupki.prom.ua/remote/dispatcher/state_purchase_view/36428975" TargetMode="External"/>
  <ns0:Relationship Id="rId1358" Type="http://schemas.openxmlformats.org/officeDocument/2006/relationships/hyperlink" Target="https://my.zakupki.prom.ua/remote/dispatcher/state_contracting_view/13526721" TargetMode="External"/>
  <ns0:Relationship Id="rId1359" Type="http://schemas.openxmlformats.org/officeDocument/2006/relationships/hyperlink" Target="https://my.zakupki.prom.ua/remote/dispatcher/state_purchase_view/36371151" TargetMode="External"/>
  <ns0:Relationship Id="rId1360" Type="http://schemas.openxmlformats.org/officeDocument/2006/relationships/hyperlink" Target="https://my.zakupki.prom.ua/remote/dispatcher/state_contracting_view/13497150" TargetMode="External"/>
  <ns0:Relationship Id="rId1361" Type="http://schemas.openxmlformats.org/officeDocument/2006/relationships/hyperlink" Target="https://my.zakupki.prom.ua/remote/dispatcher/state_purchase_view/36506826" TargetMode="External"/>
  <ns0:Relationship Id="rId1362" Type="http://schemas.openxmlformats.org/officeDocument/2006/relationships/hyperlink" Target="https://my.zakupki.prom.ua/remote/dispatcher/state_contracting_view/13566201" TargetMode="External"/>
  <ns0:Relationship Id="rId1363" Type="http://schemas.openxmlformats.org/officeDocument/2006/relationships/hyperlink" Target="https://my.zakupki.prom.ua/remote/dispatcher/state_purchase_view/36910906" TargetMode="External"/>
  <ns0:Relationship Id="rId1364" Type="http://schemas.openxmlformats.org/officeDocument/2006/relationships/hyperlink" Target="https://my.zakupki.prom.ua/remote/dispatcher/state_contracting_view/13757373" TargetMode="External"/>
  <ns0:Relationship Id="rId1365" Type="http://schemas.openxmlformats.org/officeDocument/2006/relationships/hyperlink" Target="https://my.zakupki.prom.ua/remote/dispatcher/state_purchase_view/36969413" TargetMode="External"/>
  <ns0:Relationship Id="rId1366" Type="http://schemas.openxmlformats.org/officeDocument/2006/relationships/hyperlink" Target="https://my.zakupki.prom.ua/remote/dispatcher/state_contracting_view/13785150" TargetMode="External"/>
  <ns0:Relationship Id="rId1367" Type="http://schemas.openxmlformats.org/officeDocument/2006/relationships/hyperlink" Target="https://my.zakupki.prom.ua/remote/dispatcher/state_purchase_view/37023431" TargetMode="External"/>
  <ns0:Relationship Id="rId1368" Type="http://schemas.openxmlformats.org/officeDocument/2006/relationships/hyperlink" Target="https://my.zakupki.prom.ua/remote/dispatcher/state_contracting_view/13810476" TargetMode="External"/>
  <ns0:Relationship Id="rId1369" Type="http://schemas.openxmlformats.org/officeDocument/2006/relationships/hyperlink" Target="https://my.zakupki.prom.ua/remote/dispatcher/state_purchase_view/36347610" TargetMode="External"/>
  <ns0:Relationship Id="rId1370" Type="http://schemas.openxmlformats.org/officeDocument/2006/relationships/hyperlink" Target="https://my.zakupki.prom.ua/remote/dispatcher/state_contracting_view/13485095" TargetMode="External"/>
  <ns0:Relationship Id="rId1371" Type="http://schemas.openxmlformats.org/officeDocument/2006/relationships/hyperlink" Target="https://my.zakupki.prom.ua/remote/dispatcher/state_purchase_view/36873330" TargetMode="External"/>
  <ns0:Relationship Id="rId1372" Type="http://schemas.openxmlformats.org/officeDocument/2006/relationships/hyperlink" Target="https://my.zakupki.prom.ua/remote/dispatcher/state_contracting_view/13739596" TargetMode="External"/>
  <ns0:Relationship Id="rId1373" Type="http://schemas.openxmlformats.org/officeDocument/2006/relationships/hyperlink" Target="https://my.zakupki.prom.ua/remote/dispatcher/state_purchase_view/36693701" TargetMode="External"/>
  <ns0:Relationship Id="rId1374" Type="http://schemas.openxmlformats.org/officeDocument/2006/relationships/hyperlink" Target="https://my.zakupki.prom.ua/remote/dispatcher/state_contracting_view/13655364" TargetMode="External"/>
  <ns0:Relationship Id="rId1375" Type="http://schemas.openxmlformats.org/officeDocument/2006/relationships/hyperlink" Target="https://my.zakupki.prom.ua/remote/dispatcher/state_purchase_view/36436459" TargetMode="External"/>
  <ns0:Relationship Id="rId1376" Type="http://schemas.openxmlformats.org/officeDocument/2006/relationships/hyperlink" Target="https://my.zakupki.prom.ua/remote/dispatcher/state_contracting_view/13530480" TargetMode="External"/>
  <ns0:Relationship Id="rId1377" Type="http://schemas.openxmlformats.org/officeDocument/2006/relationships/hyperlink" Target="https://my.zakupki.prom.ua/remote/dispatcher/state_purchase_view/36437240" TargetMode="External"/>
  <ns0:Relationship Id="rId1378" Type="http://schemas.openxmlformats.org/officeDocument/2006/relationships/hyperlink" Target="https://my.zakupki.prom.ua/remote/dispatcher/state_contracting_view/13530699" TargetMode="External"/>
  <ns0:Relationship Id="rId1379" Type="http://schemas.openxmlformats.org/officeDocument/2006/relationships/hyperlink" Target="https://my.zakupki.prom.ua/remote/dispatcher/state_purchase_view/36455037" TargetMode="External"/>
  <ns0:Relationship Id="rId1380" Type="http://schemas.openxmlformats.org/officeDocument/2006/relationships/hyperlink" Target="https://my.zakupki.prom.ua/remote/dispatcher/state_contracting_view/13540150" TargetMode="External"/>
  <ns0:Relationship Id="rId1381" Type="http://schemas.openxmlformats.org/officeDocument/2006/relationships/hyperlink" Target="https://my.zakupki.prom.ua/remote/dispatcher/state_purchase_view/36348171" TargetMode="External"/>
  <ns0:Relationship Id="rId1382" Type="http://schemas.openxmlformats.org/officeDocument/2006/relationships/hyperlink" Target="https://my.zakupki.prom.ua/remote/dispatcher/state_contracting_view/13485453" TargetMode="External"/>
  <ns0:Relationship Id="rId1383" Type="http://schemas.openxmlformats.org/officeDocument/2006/relationships/hyperlink" Target="https://my.zakupki.prom.ua/remote/dispatcher/state_purchase_view/36289902" TargetMode="External"/>
  <ns0:Relationship Id="rId1384" Type="http://schemas.openxmlformats.org/officeDocument/2006/relationships/hyperlink" Target="https://my.zakupki.prom.ua/remote/dispatcher/state_contracting_view/13456015" TargetMode="External"/>
  <ns0:Relationship Id="rId1385" Type="http://schemas.openxmlformats.org/officeDocument/2006/relationships/hyperlink" Target="https://my.zakupki.prom.ua/remote/dispatcher/state_purchase_view/37119821" TargetMode="External"/>
  <ns0:Relationship Id="rId1386" Type="http://schemas.openxmlformats.org/officeDocument/2006/relationships/hyperlink" Target="https://my.zakupki.prom.ua/remote/dispatcher/state_contracting_view/13856587" TargetMode="External"/>
  <ns0:Relationship Id="rId1387" Type="http://schemas.openxmlformats.org/officeDocument/2006/relationships/hyperlink" Target="https://my.zakupki.prom.ua/remote/dispatcher/state_purchase_view/37119985" TargetMode="External"/>
  <ns0:Relationship Id="rId1388" Type="http://schemas.openxmlformats.org/officeDocument/2006/relationships/hyperlink" Target="https://my.zakupki.prom.ua/remote/dispatcher/state_contracting_view/13856502" TargetMode="External"/>
  <ns0:Relationship Id="rId1389" Type="http://schemas.openxmlformats.org/officeDocument/2006/relationships/hyperlink" Target="https://my.zakupki.prom.ua/remote/dispatcher/state_purchase_view/36842294" TargetMode="External"/>
  <ns0:Relationship Id="rId1390" Type="http://schemas.openxmlformats.org/officeDocument/2006/relationships/hyperlink" Target="https://my.zakupki.prom.ua/remote/dispatcher/state_contracting_view/13724624" TargetMode="External"/>
  <ns0:Relationship Id="rId1391" Type="http://schemas.openxmlformats.org/officeDocument/2006/relationships/hyperlink" Target="https://my.zakupki.prom.ua/remote/dispatcher/state_purchase_view/36320143" TargetMode="External"/>
  <ns0:Relationship Id="rId1392" Type="http://schemas.openxmlformats.org/officeDocument/2006/relationships/hyperlink" Target="https://my.zakupki.prom.ua/remote/dispatcher/state_contracting_view/13471323" TargetMode="External"/>
  <ns0:Relationship Id="rId1393" Type="http://schemas.openxmlformats.org/officeDocument/2006/relationships/hyperlink" Target="https://my.zakupki.prom.ua/remote/dispatcher/state_purchase_view/36520349" TargetMode="External"/>
  <ns0:Relationship Id="rId1394" Type="http://schemas.openxmlformats.org/officeDocument/2006/relationships/hyperlink" Target="https://my.zakupki.prom.ua/remote/dispatcher/state_contracting_view/13572340" TargetMode="External"/>
  <ns0:Relationship Id="rId1395" Type="http://schemas.openxmlformats.org/officeDocument/2006/relationships/hyperlink" Target="https://my.zakupki.prom.ua/remote/dispatcher/state_purchase_view/36436938" TargetMode="External"/>
  <ns0:Relationship Id="rId1396" Type="http://schemas.openxmlformats.org/officeDocument/2006/relationships/hyperlink" Target="https://my.zakupki.prom.ua/remote/dispatcher/state_contracting_view/13530598" TargetMode="External"/>
  <ns0:Relationship Id="rId1397" Type="http://schemas.openxmlformats.org/officeDocument/2006/relationships/hyperlink" Target="https://my.zakupki.prom.ua/remote/dispatcher/state_purchase_view/36319724" TargetMode="External"/>
  <ns0:Relationship Id="rId1398" Type="http://schemas.openxmlformats.org/officeDocument/2006/relationships/hyperlink" Target="https://my.zakupki.prom.ua/remote/dispatcher/state_contracting_view/13471169" TargetMode="External"/>
  <ns0:Relationship Id="rId1399" Type="http://schemas.openxmlformats.org/officeDocument/2006/relationships/hyperlink" Target="https://my.zakupki.prom.ua/remote/dispatcher/state_purchase_view/36813114" TargetMode="External"/>
  <ns0:Relationship Id="rId1400" Type="http://schemas.openxmlformats.org/officeDocument/2006/relationships/hyperlink" Target="https://my.zakupki.prom.ua/remote/dispatcher/state_contracting_view/13711218" TargetMode="External"/>
  <ns0:Relationship Id="rId1401" Type="http://schemas.openxmlformats.org/officeDocument/2006/relationships/hyperlink" Target="https://my.zakupki.prom.ua/remote/dispatcher/state_purchase_view/36874608" TargetMode="External"/>
  <ns0:Relationship Id="rId1402" Type="http://schemas.openxmlformats.org/officeDocument/2006/relationships/hyperlink" Target="https://my.zakupki.prom.ua/remote/dispatcher/state_contracting_view/13740340" TargetMode="External"/>
  <ns0:Relationship Id="rId1403" Type="http://schemas.openxmlformats.org/officeDocument/2006/relationships/hyperlink" Target="https://my.zakupki.prom.ua/remote/dispatcher/state_purchase_view/36927277" TargetMode="External"/>
  <ns0:Relationship Id="rId1404" Type="http://schemas.openxmlformats.org/officeDocument/2006/relationships/hyperlink" Target="https://my.zakupki.prom.ua/remote/dispatcher/state_contracting_view/13765300" TargetMode="External"/>
  <ns0:Relationship Id="rId1405" Type="http://schemas.openxmlformats.org/officeDocument/2006/relationships/hyperlink" Target="https://my.zakupki.prom.ua/remote/dispatcher/state_purchase_view/36472985" TargetMode="External"/>
  <ns0:Relationship Id="rId1406" Type="http://schemas.openxmlformats.org/officeDocument/2006/relationships/hyperlink" Target="https://my.zakupki.prom.ua/remote/dispatcher/state_contracting_view/13548958" TargetMode="External"/>
  <ns0:Relationship Id="rId1407" Type="http://schemas.openxmlformats.org/officeDocument/2006/relationships/hyperlink" Target="https://my.zakupki.prom.ua/remote/dispatcher/state_purchase_view/36729240" TargetMode="External"/>
  <ns0:Relationship Id="rId1408" Type="http://schemas.openxmlformats.org/officeDocument/2006/relationships/hyperlink" Target="https://my.zakupki.prom.ua/remote/dispatcher/state_contracting_view/13671796" TargetMode="External"/>
  <ns0:Relationship Id="rId1409" Type="http://schemas.openxmlformats.org/officeDocument/2006/relationships/hyperlink" Target="https://my.zakupki.prom.ua/remote/dispatcher/state_purchase_view/36893960" TargetMode="External"/>
  <ns0:Relationship Id="rId1410" Type="http://schemas.openxmlformats.org/officeDocument/2006/relationships/hyperlink" Target="https://my.zakupki.prom.ua/remote/dispatcher/state_contracting_view/13749397" TargetMode="External"/>
  <ns0:Relationship Id="rId1411" Type="http://schemas.openxmlformats.org/officeDocument/2006/relationships/hyperlink" Target="https://my.zakupki.prom.ua/remote/dispatcher/state_purchase_view/36840633" TargetMode="External"/>
  <ns0:Relationship Id="rId1412" Type="http://schemas.openxmlformats.org/officeDocument/2006/relationships/hyperlink" Target="https://my.zakupki.prom.ua/remote/dispatcher/state_contracting_view/13723998" TargetMode="External"/>
  <ns0:Relationship Id="rId1413" Type="http://schemas.openxmlformats.org/officeDocument/2006/relationships/hyperlink" Target="https://my.zakupki.prom.ua/remote/dispatcher/state_purchase_view/36318836" TargetMode="External"/>
  <ns0:Relationship Id="rId1414" Type="http://schemas.openxmlformats.org/officeDocument/2006/relationships/hyperlink" Target="https://my.zakupki.prom.ua/remote/dispatcher/state_contracting_view/13470673" TargetMode="External"/>
  <ns0:Relationship Id="rId1415" Type="http://schemas.openxmlformats.org/officeDocument/2006/relationships/hyperlink" Target="https://my.zakupki.prom.ua/remote/dispatcher/state_purchase_view/36362435" TargetMode="External"/>
  <ns0:Relationship Id="rId1416" Type="http://schemas.openxmlformats.org/officeDocument/2006/relationships/hyperlink" Target="https://my.zakupki.prom.ua/remote/dispatcher/state_contracting_view/13492869" TargetMode="External"/>
  <ns0:Relationship Id="rId1417" Type="http://schemas.openxmlformats.org/officeDocument/2006/relationships/hyperlink" Target="https://my.zakupki.prom.ua/remote/dispatcher/state_purchase_view/36927062" TargetMode="External"/>
  <ns0:Relationship Id="rId1418" Type="http://schemas.openxmlformats.org/officeDocument/2006/relationships/hyperlink" Target="https://my.zakupki.prom.ua/remote/dispatcher/state_contracting_view/13765020" TargetMode="External"/>
  <ns0:Relationship Id="rId1419" Type="http://schemas.openxmlformats.org/officeDocument/2006/relationships/hyperlink" Target="https://my.zakupki.prom.ua/remote/dispatcher/state_purchase_view/36762299" TargetMode="External"/>
  <ns0:Relationship Id="rId1420" Type="http://schemas.openxmlformats.org/officeDocument/2006/relationships/hyperlink" Target="https://my.zakupki.prom.ua/remote/dispatcher/state_contracting_view/13783005" TargetMode="External"/>
  <ns0:Relationship Id="rId1421" Type="http://schemas.openxmlformats.org/officeDocument/2006/relationships/hyperlink" Target="https://my.zakupki.prom.ua/remote/dispatcher/state_purchase_view/36319204" TargetMode="External"/>
  <ns0:Relationship Id="rId1422" Type="http://schemas.openxmlformats.org/officeDocument/2006/relationships/hyperlink" Target="https://my.zakupki.prom.ua/remote/dispatcher/state_contracting_view/13470913" TargetMode="External"/>
  <ns0:Relationship Id="rId1423" Type="http://schemas.openxmlformats.org/officeDocument/2006/relationships/hyperlink" Target="https://my.zakupki.prom.ua/remote/dispatcher/state_purchase_view/36396922" TargetMode="External"/>
  <ns0:Relationship Id="rId1424" Type="http://schemas.openxmlformats.org/officeDocument/2006/relationships/hyperlink" Target="https://my.zakupki.prom.ua/remote/dispatcher/state_contracting_view/13510395" TargetMode="External"/>
  <ns0:Relationship Id="rId1425" Type="http://schemas.openxmlformats.org/officeDocument/2006/relationships/hyperlink" Target="https://my.zakupki.prom.ua/remote/dispatcher/state_purchase_view/36348076" TargetMode="External"/>
  <ns0:Relationship Id="rId1426" Type="http://schemas.openxmlformats.org/officeDocument/2006/relationships/hyperlink" Target="https://my.zakupki.prom.ua/remote/dispatcher/state_contracting_view/13485257" TargetMode="External"/>
  <ns0:Relationship Id="rId1427" Type="http://schemas.openxmlformats.org/officeDocument/2006/relationships/hyperlink" Target="https://my.zakupki.prom.ua/remote/dispatcher/state_purchase_view/36350133" TargetMode="External"/>
  <ns0:Relationship Id="rId1428" Type="http://schemas.openxmlformats.org/officeDocument/2006/relationships/hyperlink" Target="https://my.zakupki.prom.ua/remote/dispatcher/state_contracting_view/13486689" TargetMode="External"/>
  <ns0:Relationship Id="rId1429" Type="http://schemas.openxmlformats.org/officeDocument/2006/relationships/hyperlink" Target="https://my.zakupki.prom.ua/remote/dispatcher/state_purchase_view/36910628" TargetMode="External"/>
  <ns0:Relationship Id="rId1430" Type="http://schemas.openxmlformats.org/officeDocument/2006/relationships/hyperlink" Target="https://my.zakupki.prom.ua/remote/dispatcher/state_contracting_view/13757341" TargetMode="External"/>
  <ns0:Relationship Id="rId1431" Type="http://schemas.openxmlformats.org/officeDocument/2006/relationships/hyperlink" Target="https://my.zakupki.prom.ua/remote/dispatcher/state_purchase_view/36772251" TargetMode="External"/>
  <ns0:Relationship Id="rId1432" Type="http://schemas.openxmlformats.org/officeDocument/2006/relationships/hyperlink" Target="https://my.zakupki.prom.ua/remote/dispatcher/state_contracting_view/13691784" TargetMode="External"/>
  <ns0:Relationship Id="rId1433" Type="http://schemas.openxmlformats.org/officeDocument/2006/relationships/hyperlink" Target="https://my.zakupki.prom.ua/remote/dispatcher/state_purchase_view/36841913" TargetMode="External"/>
  <ns0:Relationship Id="rId1434" Type="http://schemas.openxmlformats.org/officeDocument/2006/relationships/hyperlink" Target="https://my.zakupki.prom.ua/remote/dispatcher/state_contracting_view/13724478" TargetMode="External"/>
  <ns0:Relationship Id="rId1435" Type="http://schemas.openxmlformats.org/officeDocument/2006/relationships/hyperlink" Target="https://my.zakupki.prom.ua/remote/dispatcher/state_purchase_view/37022365" TargetMode="External"/>
  <ns0:Relationship Id="rId1436" Type="http://schemas.openxmlformats.org/officeDocument/2006/relationships/hyperlink" Target="https://my.zakupki.prom.ua/remote/dispatcher/state_contracting_view/13811996" TargetMode="External"/>
  <ns0:Relationship Id="rId1437" Type="http://schemas.openxmlformats.org/officeDocument/2006/relationships/hyperlink" Target="https://my.zakupki.prom.ua/remote/dispatcher/state_purchase_view/36426071" TargetMode="External"/>
  <ns0:Relationship Id="rId1438" Type="http://schemas.openxmlformats.org/officeDocument/2006/relationships/hyperlink" Target="https://my.zakupki.prom.ua/remote/dispatcher/state_contracting_view/13525250" TargetMode="External"/>
  <ns0:Relationship Id="rId1439" Type="http://schemas.openxmlformats.org/officeDocument/2006/relationships/hyperlink" Target="https://my.zakupki.prom.ua/remote/dispatcher/state_purchase_view/36434080" TargetMode="External"/>
  <ns0:Relationship Id="rId1440" Type="http://schemas.openxmlformats.org/officeDocument/2006/relationships/hyperlink" Target="https://my.zakupki.prom.ua/remote/dispatcher/state_contracting_view/13529216" TargetMode="External"/>
  <ns0:Relationship Id="rId1441" Type="http://schemas.openxmlformats.org/officeDocument/2006/relationships/hyperlink" Target="https://my.zakupki.prom.ua/remote/dispatcher/state_purchase_view/36873852" TargetMode="External"/>
  <ns0:Relationship Id="rId1442" Type="http://schemas.openxmlformats.org/officeDocument/2006/relationships/hyperlink" Target="https://my.zakupki.prom.ua/remote/dispatcher/state_contracting_view/13739752" TargetMode="External"/>
  <ns0:Relationship Id="rId1443" Type="http://schemas.openxmlformats.org/officeDocument/2006/relationships/hyperlink" Target="https://my.zakupki.prom.ua/remote/dispatcher/state_purchase_view/37024118" TargetMode="External"/>
  <ns0:Relationship Id="rId1444" Type="http://schemas.openxmlformats.org/officeDocument/2006/relationships/hyperlink" Target="https://my.zakupki.prom.ua/remote/dispatcher/state_contracting_view/13810856" TargetMode="External"/>
  <ns0:Relationship Id="rId1445" Type="http://schemas.openxmlformats.org/officeDocument/2006/relationships/hyperlink" Target="https://my.zakupki.prom.ua/remote/dispatcher/state_purchase_view/36624055" TargetMode="External"/>
  <ns0:Relationship Id="rId1446" Type="http://schemas.openxmlformats.org/officeDocument/2006/relationships/hyperlink" Target="https://my.zakupki.prom.ua/remote/dispatcher/state_contracting_view/13624107" TargetMode="External"/>
  <ns0:Relationship Id="rId1447" Type="http://schemas.openxmlformats.org/officeDocument/2006/relationships/hyperlink" Target="https://my.zakupki.prom.ua/remote/dispatcher/state_purchase_view/36643715" TargetMode="External"/>
  <ns0:Relationship Id="rId1448" Type="http://schemas.openxmlformats.org/officeDocument/2006/relationships/hyperlink" Target="https://my.zakupki.prom.ua/remote/dispatcher/state_contracting_view/13632264" TargetMode="External"/>
  <ns0:Relationship Id="rId1449" Type="http://schemas.openxmlformats.org/officeDocument/2006/relationships/hyperlink" Target="https://my.zakupki.prom.ua/remote/dispatcher/state_purchase_view/36488489" TargetMode="External"/>
  <ns0:Relationship Id="rId1450" Type="http://schemas.openxmlformats.org/officeDocument/2006/relationships/hyperlink" Target="https://my.zakupki.prom.ua/remote/dispatcher/state_contracting_view/13557065" TargetMode="External"/>
  <ns0:Relationship Id="rId1451" Type="http://schemas.openxmlformats.org/officeDocument/2006/relationships/hyperlink" Target="https://my.zakupki.prom.ua/remote/dispatcher/state_purchase_view/36429684" TargetMode="External"/>
  <ns0:Relationship Id="rId1452" Type="http://schemas.openxmlformats.org/officeDocument/2006/relationships/hyperlink" Target="https://my.zakupki.prom.ua/remote/dispatcher/state_contracting_view/13527151" TargetMode="External"/>
  <ns0:Relationship Id="rId1453" Type="http://schemas.openxmlformats.org/officeDocument/2006/relationships/hyperlink" Target="https://my.zakupki.prom.ua/remote/dispatcher/state_purchase_view/36838284" TargetMode="External"/>
  <ns0:Relationship Id="rId1454" Type="http://schemas.openxmlformats.org/officeDocument/2006/relationships/hyperlink" Target="https://my.zakupki.prom.ua/remote/dispatcher/state_contracting_view/13722985" TargetMode="External"/>
  <ns0:Relationship Id="rId1455" Type="http://schemas.openxmlformats.org/officeDocument/2006/relationships/hyperlink" Target="https://my.zakupki.prom.ua/remote/dispatcher/state_purchase_view/36866333" TargetMode="External"/>
  <ns0:Relationship Id="rId1456" Type="http://schemas.openxmlformats.org/officeDocument/2006/relationships/hyperlink" Target="https://my.zakupki.prom.ua/remote/dispatcher/state_contracting_view/13736193" TargetMode="External"/>
  <ns0:Relationship Id="rId1457" Type="http://schemas.openxmlformats.org/officeDocument/2006/relationships/hyperlink" Target="https://my.zakupki.prom.ua/remote/dispatcher/state_purchase_view/36348181" TargetMode="External"/>
  <ns0:Relationship Id="rId1458" Type="http://schemas.openxmlformats.org/officeDocument/2006/relationships/hyperlink" Target="https://my.zakupki.prom.ua/remote/dispatcher/state_contracting_view/13485357" TargetMode="External"/>
  <ns0:Relationship Id="rId1459" Type="http://schemas.openxmlformats.org/officeDocument/2006/relationships/hyperlink" Target="https://my.zakupki.prom.ua/remote/dispatcher/state_purchase_view/36906523" TargetMode="External"/>
  <ns0:Relationship Id="rId1460" Type="http://schemas.openxmlformats.org/officeDocument/2006/relationships/hyperlink" Target="https://my.zakupki.prom.ua/remote/dispatcher/state_contracting_view/13755286" TargetMode="External"/>
  <ns0:Relationship Id="rId1461" Type="http://schemas.openxmlformats.org/officeDocument/2006/relationships/hyperlink" Target="https://my.zakupki.prom.ua/remote/dispatcher/state_purchase_view/36926774" TargetMode="External"/>
  <ns0:Relationship Id="rId1462" Type="http://schemas.openxmlformats.org/officeDocument/2006/relationships/hyperlink" Target="https://my.zakupki.prom.ua/remote/dispatcher/state_contracting_view/13764863" TargetMode="External"/>
  <ns0:Relationship Id="rId1463" Type="http://schemas.openxmlformats.org/officeDocument/2006/relationships/hyperlink" Target="https://my.zakupki.prom.ua/remote/dispatcher/state_purchase_view/37120517" TargetMode="External"/>
  <ns0:Relationship Id="rId1464" Type="http://schemas.openxmlformats.org/officeDocument/2006/relationships/hyperlink" Target="https://my.zakupki.prom.ua/remote/dispatcher/state_contracting_view/13856754" TargetMode="External"/>
  <ns0:Relationship Id="rId1465" Type="http://schemas.openxmlformats.org/officeDocument/2006/relationships/hyperlink" Target="https://my.zakupki.prom.ua/remote/dispatcher/state_purchase_view/36819810" TargetMode="External"/>
  <ns0:Relationship Id="rId1466" Type="http://schemas.openxmlformats.org/officeDocument/2006/relationships/hyperlink" Target="https://my.zakupki.prom.ua/remote/dispatcher/state_contracting_view/13714380" TargetMode="External"/>
  <ns0:Relationship Id="rId1467" Type="http://schemas.openxmlformats.org/officeDocument/2006/relationships/hyperlink" Target="https://my.zakupki.prom.ua/remote/dispatcher/state_purchase_view/36927619" TargetMode="External"/>
  <ns0:Relationship Id="rId1468" Type="http://schemas.openxmlformats.org/officeDocument/2006/relationships/hyperlink" Target="https://my.zakupki.prom.ua/remote/dispatcher/state_contracting_view/13765340" TargetMode="External"/>
  <ns0:Relationship Id="rId1469" Type="http://schemas.openxmlformats.org/officeDocument/2006/relationships/hyperlink" Target="https://my.zakupki.prom.ua/remote/dispatcher/state_purchase_view/36874270" TargetMode="External"/>
  <ns0:Relationship Id="rId1470" Type="http://schemas.openxmlformats.org/officeDocument/2006/relationships/hyperlink" Target="https://my.zakupki.prom.ua/remote/dispatcher/state_contracting_view/13739972" TargetMode="External"/>
  <ns0:Relationship Id="rId1471" Type="http://schemas.openxmlformats.org/officeDocument/2006/relationships/hyperlink" Target="https://my.zakupki.prom.ua/remote/dispatcher/state_purchase_view/37120283" TargetMode="External"/>
  <ns0:Relationship Id="rId1472" Type="http://schemas.openxmlformats.org/officeDocument/2006/relationships/hyperlink" Target="https://my.zakupki.prom.ua/remote/dispatcher/state_contracting_view/13856687" TargetMode="External"/>
  <ns0:Relationship Id="rId1473" Type="http://schemas.openxmlformats.org/officeDocument/2006/relationships/hyperlink" Target="https://my.zakupki.prom.ua/remote/dispatcher/state_purchase_view/36348600" TargetMode="External"/>
  <ns0:Relationship Id="rId1474" Type="http://schemas.openxmlformats.org/officeDocument/2006/relationships/hyperlink" Target="https://my.zakupki.prom.ua/remote/dispatcher/state_contracting_view/13485693" TargetMode="External"/>
  <ns0:Relationship Id="rId1475" Type="http://schemas.openxmlformats.org/officeDocument/2006/relationships/hyperlink" Target="https://my.zakupki.prom.ua/remote/dispatcher/state_purchase_view/36520061" TargetMode="External"/>
  <ns0:Relationship Id="rId1476" Type="http://schemas.openxmlformats.org/officeDocument/2006/relationships/hyperlink" Target="https://my.zakupki.prom.ua/remote/dispatcher/state_contracting_view/13572163" TargetMode="External"/>
  <ns0:Relationship Id="rId1477" Type="http://schemas.openxmlformats.org/officeDocument/2006/relationships/hyperlink" Target="https://my.zakupki.prom.ua/remote/dispatcher/state_purchase_view/36071318" TargetMode="External"/>
  <ns0:Relationship Id="rId1478" Type="http://schemas.openxmlformats.org/officeDocument/2006/relationships/hyperlink" Target="https://my.zakupki.prom.ua/remote/dispatcher/state_contracting_view/13343936" TargetMode="External"/>
  <ns0:Relationship Id="rId1479" Type="http://schemas.openxmlformats.org/officeDocument/2006/relationships/hyperlink" Target="https://my.zakupki.prom.ua/remote/dispatcher/state_purchase_view/36121231" TargetMode="External"/>
  <ns0:Relationship Id="rId1480" Type="http://schemas.openxmlformats.org/officeDocument/2006/relationships/hyperlink" Target="https://my.zakupki.prom.ua/remote/dispatcher/state_contracting_view/13367022" TargetMode="External"/>
  <ns0:Relationship Id="rId1481" Type="http://schemas.openxmlformats.org/officeDocument/2006/relationships/hyperlink" Target="https://my.zakupki.prom.ua/remote/dispatcher/state_purchase_view/36089745" TargetMode="External"/>
  <ns0:Relationship Id="rId1482" Type="http://schemas.openxmlformats.org/officeDocument/2006/relationships/hyperlink" Target="https://my.zakupki.prom.ua/remote/dispatcher/state_contracting_view/13351132" TargetMode="External"/>
  <ns0:Relationship Id="rId1483" Type="http://schemas.openxmlformats.org/officeDocument/2006/relationships/hyperlink" Target="https://my.zakupki.prom.ua/remote/dispatcher/state_purchase_view/36154992" TargetMode="External"/>
  <ns0:Relationship Id="rId1484" Type="http://schemas.openxmlformats.org/officeDocument/2006/relationships/hyperlink" Target="https://my.zakupki.prom.ua/remote/dispatcher/state_contracting_view/13384381" TargetMode="External"/>
  <ns0:Relationship Id="rId1485" Type="http://schemas.openxmlformats.org/officeDocument/2006/relationships/hyperlink" Target="https://my.zakupki.prom.ua/remote/dispatcher/state_purchase_view/36071115" TargetMode="External"/>
  <ns0:Relationship Id="rId1486" Type="http://schemas.openxmlformats.org/officeDocument/2006/relationships/hyperlink" Target="https://my.zakupki.prom.ua/remote/dispatcher/state_contracting_view/13343938" TargetMode="External"/>
  <ns0:Relationship Id="rId1487" Type="http://schemas.openxmlformats.org/officeDocument/2006/relationships/hyperlink" Target="https://my.zakupki.prom.ua/remote/dispatcher/state_purchase_view/36103805" TargetMode="External"/>
  <ns0:Relationship Id="rId1488" Type="http://schemas.openxmlformats.org/officeDocument/2006/relationships/hyperlink" Target="https://my.zakupki.prom.ua/remote/dispatcher/state_contracting_view/13358067" TargetMode="External"/>
  <ns0:Relationship Id="rId1489" Type="http://schemas.openxmlformats.org/officeDocument/2006/relationships/hyperlink" Target="https://my.zakupki.prom.ua/remote/dispatcher/state_purchase_view/36126960" TargetMode="External"/>
  <ns0:Relationship Id="rId1490" Type="http://schemas.openxmlformats.org/officeDocument/2006/relationships/hyperlink" Target="https://my.zakupki.prom.ua/remote/dispatcher/state_contracting_view/13369940" TargetMode="External"/>
  <ns0:Relationship Id="rId1491" Type="http://schemas.openxmlformats.org/officeDocument/2006/relationships/hyperlink" Target="https://my.zakupki.prom.ua/remote/dispatcher/state_purchase_view/36094182" TargetMode="External"/>
  <ns0:Relationship Id="rId1492" Type="http://schemas.openxmlformats.org/officeDocument/2006/relationships/hyperlink" Target="https://my.zakupki.prom.ua/remote/dispatcher/state_contracting_view/13353387" TargetMode="External"/>
  <ns0:Relationship Id="rId1493" Type="http://schemas.openxmlformats.org/officeDocument/2006/relationships/hyperlink" Target="https://my.zakupki.prom.ua/remote/dispatcher/state_purchase_view/36103794" TargetMode="External"/>
  <ns0:Relationship Id="rId1494" Type="http://schemas.openxmlformats.org/officeDocument/2006/relationships/hyperlink" Target="https://my.zakupki.prom.ua/remote/dispatcher/state_contracting_view/13357996" TargetMode="External"/>
  <ns0:Relationship Id="rId1495" Type="http://schemas.openxmlformats.org/officeDocument/2006/relationships/hyperlink" Target="https://my.zakupki.prom.ua/remote/dispatcher/state_purchase_view/36137991" TargetMode="External"/>
  <ns0:Relationship Id="rId1496" Type="http://schemas.openxmlformats.org/officeDocument/2006/relationships/hyperlink" Target="https://my.zakupki.prom.ua/remote/dispatcher/state_contracting_view/13377032" TargetMode="External"/>
  <ns0:Relationship Id="rId1497" Type="http://schemas.openxmlformats.org/officeDocument/2006/relationships/hyperlink" Target="https://my.zakupki.prom.ua/remote/dispatcher/state_purchase_view/36138123" TargetMode="External"/>
  <ns0:Relationship Id="rId1498" Type="http://schemas.openxmlformats.org/officeDocument/2006/relationships/hyperlink" Target="https://my.zakupki.prom.ua/remote/dispatcher/state_contracting_view/13376877" TargetMode="External"/>
  <ns0:Relationship Id="rId1499" Type="http://schemas.openxmlformats.org/officeDocument/2006/relationships/hyperlink" Target="https://my.zakupki.prom.ua/remote/dispatcher/state_purchase_view/36094253" TargetMode="External"/>
  <ns0:Relationship Id="rId1500" Type="http://schemas.openxmlformats.org/officeDocument/2006/relationships/hyperlink" Target="https://my.zakupki.prom.ua/remote/dispatcher/state_contracting_view/13353493" TargetMode="External"/>
  <ns0:Relationship Id="rId1501" Type="http://schemas.openxmlformats.org/officeDocument/2006/relationships/hyperlink" Target="https://my.zakupki.prom.ua/remote/dispatcher/state_purchase_view/36155205" TargetMode="External"/>
  <ns0:Relationship Id="rId1502" Type="http://schemas.openxmlformats.org/officeDocument/2006/relationships/hyperlink" Target="https://my.zakupki.prom.ua/remote/dispatcher/state_contracting_view/13385081" TargetMode="External"/>
  <ns0:Relationship Id="rId1503" Type="http://schemas.openxmlformats.org/officeDocument/2006/relationships/hyperlink" Target="https://my.zakupki.prom.ua/remote/dispatcher/state_purchase_view/35799559" TargetMode="External"/>
  <ns0:Relationship Id="rId1504" Type="http://schemas.openxmlformats.org/officeDocument/2006/relationships/hyperlink" Target="https://my.zakupki.prom.ua/remote/dispatcher/state_contracting_view/13203403" TargetMode="External"/>
  <ns0:Relationship Id="rId1505" Type="http://schemas.openxmlformats.org/officeDocument/2006/relationships/hyperlink" Target="https://my.zakupki.prom.ua/remote/dispatcher/state_purchase_view/35905197" TargetMode="External"/>
  <ns0:Relationship Id="rId1506" Type="http://schemas.openxmlformats.org/officeDocument/2006/relationships/hyperlink" Target="https://my.zakupki.prom.ua/remote/dispatcher/state_contracting_view/13257646" TargetMode="External"/>
  <ns0:Relationship Id="rId1507" Type="http://schemas.openxmlformats.org/officeDocument/2006/relationships/hyperlink" Target="https://my.zakupki.prom.ua/remote/dispatcher/state_purchase_view/36009219" TargetMode="External"/>
  <ns0:Relationship Id="rId1508" Type="http://schemas.openxmlformats.org/officeDocument/2006/relationships/hyperlink" Target="https://my.zakupki.prom.ua/remote/dispatcher/state_contracting_view/13312296" TargetMode="External"/>
  <ns0:Relationship Id="rId1509" Type="http://schemas.openxmlformats.org/officeDocument/2006/relationships/hyperlink" Target="https://my.zakupki.prom.ua/remote/dispatcher/state_purchase_view/35923090" TargetMode="External"/>
  <ns0:Relationship Id="rId1510" Type="http://schemas.openxmlformats.org/officeDocument/2006/relationships/hyperlink" Target="https://my.zakupki.prom.ua/remote/dispatcher/state_contracting_view/13266857" TargetMode="External"/>
  <ns0:Relationship Id="rId1511" Type="http://schemas.openxmlformats.org/officeDocument/2006/relationships/hyperlink" Target="https://my.zakupki.prom.ua/remote/dispatcher/state_purchase_view/35971907" TargetMode="External"/>
  <ns0:Relationship Id="rId1512" Type="http://schemas.openxmlformats.org/officeDocument/2006/relationships/hyperlink" Target="https://my.zakupki.prom.ua/remote/dispatcher/state_contracting_view/13292522" TargetMode="External"/>
  <ns0:Relationship Id="rId1513" Type="http://schemas.openxmlformats.org/officeDocument/2006/relationships/hyperlink" Target="https://my.zakupki.prom.ua/remote/dispatcher/state_purchase_view/35952526" TargetMode="External"/>
  <ns0:Relationship Id="rId1514" Type="http://schemas.openxmlformats.org/officeDocument/2006/relationships/hyperlink" Target="https://my.zakupki.prom.ua/remote/dispatcher/state_contracting_view/13282622" TargetMode="External"/>
  <ns0:Relationship Id="rId1515" Type="http://schemas.openxmlformats.org/officeDocument/2006/relationships/hyperlink" Target="https://my.zakupki.prom.ua/remote/dispatcher/state_purchase_view/35955537" TargetMode="External"/>
  <ns0:Relationship Id="rId1516" Type="http://schemas.openxmlformats.org/officeDocument/2006/relationships/hyperlink" Target="https://my.zakupki.prom.ua/remote/dispatcher/state_contracting_view/13284897" TargetMode="External"/>
  <ns0:Relationship Id="rId1517" Type="http://schemas.openxmlformats.org/officeDocument/2006/relationships/hyperlink" Target="https://my.zakupki.prom.ua/remote/dispatcher/state_purchase_view/35950375" TargetMode="External"/>
  <ns0:Relationship Id="rId1518" Type="http://schemas.openxmlformats.org/officeDocument/2006/relationships/hyperlink" Target="https://my.zakupki.prom.ua/remote/dispatcher/state_contracting_view/13281268" TargetMode="External"/>
  <ns0:Relationship Id="rId1519" Type="http://schemas.openxmlformats.org/officeDocument/2006/relationships/hyperlink" Target="https://my.zakupki.prom.ua/remote/dispatcher/state_purchase_view/35950756" TargetMode="External"/>
  <ns0:Relationship Id="rId1520" Type="http://schemas.openxmlformats.org/officeDocument/2006/relationships/hyperlink" Target="https://my.zakupki.prom.ua/remote/dispatcher/state_contracting_view/13281303" TargetMode="External"/>
  <ns0:Relationship Id="rId1521" Type="http://schemas.openxmlformats.org/officeDocument/2006/relationships/hyperlink" Target="https://my.zakupki.prom.ua/remote/dispatcher/state_purchase_view/35952461" TargetMode="External"/>
  <ns0:Relationship Id="rId1522" Type="http://schemas.openxmlformats.org/officeDocument/2006/relationships/hyperlink" Target="https://my.zakupki.prom.ua/remote/dispatcher/state_contracting_view/13282448" TargetMode="External"/>
  <ns0:Relationship Id="rId1523" Type="http://schemas.openxmlformats.org/officeDocument/2006/relationships/hyperlink" Target="https://my.zakupki.prom.ua/remote/dispatcher/state_purchase_view/35902447" TargetMode="External"/>
  <ns0:Relationship Id="rId1524" Type="http://schemas.openxmlformats.org/officeDocument/2006/relationships/hyperlink" Target="https://my.zakupki.prom.ua/remote/dispatcher/state_contracting_view/13256378" TargetMode="External"/>
  <ns0:Relationship Id="rId1525" Type="http://schemas.openxmlformats.org/officeDocument/2006/relationships/hyperlink" Target="https://my.zakupki.prom.ua/remote/dispatcher/state_purchase_view/35952399" TargetMode="External"/>
  <ns0:Relationship Id="rId1526" Type="http://schemas.openxmlformats.org/officeDocument/2006/relationships/hyperlink" Target="https://my.zakupki.prom.ua/remote/dispatcher/state_contracting_view/13282391" TargetMode="External"/>
  <ns0:Relationship Id="rId1527" Type="http://schemas.openxmlformats.org/officeDocument/2006/relationships/hyperlink" Target="https://my.zakupki.prom.ua/remote/dispatcher/state_purchase_view/35866711" TargetMode="External"/>
  <ns0:Relationship Id="rId1528" Type="http://schemas.openxmlformats.org/officeDocument/2006/relationships/hyperlink" Target="https://my.zakupki.prom.ua/remote/dispatcher/state_contracting_view/13238433" TargetMode="External"/>
  <ns0:Relationship Id="rId1529" Type="http://schemas.openxmlformats.org/officeDocument/2006/relationships/hyperlink" Target="https://my.zakupki.prom.ua/remote/dispatcher/state_purchase_view/35805293" TargetMode="External"/>
  <ns0:Relationship Id="rId1530" Type="http://schemas.openxmlformats.org/officeDocument/2006/relationships/hyperlink" Target="https://my.zakupki.prom.ua/remote/dispatcher/state_contracting_view/13206401" TargetMode="External"/>
  <ns0:Relationship Id="rId1531" Type="http://schemas.openxmlformats.org/officeDocument/2006/relationships/hyperlink" Target="https://my.zakupki.prom.ua/remote/dispatcher/state_purchase_view/35805124" TargetMode="External"/>
  <ns0:Relationship Id="rId1532" Type="http://schemas.openxmlformats.org/officeDocument/2006/relationships/hyperlink" Target="https://my.zakupki.prom.ua/remote/dispatcher/state_contracting_view/13206229" TargetMode="External"/>
  <ns0:Relationship Id="rId1533" Type="http://schemas.openxmlformats.org/officeDocument/2006/relationships/hyperlink" Target="https://my.zakupki.prom.ua/remote/dispatcher/state_purchase_view/35712568" TargetMode="External"/>
  <ns0:Relationship Id="rId1534" Type="http://schemas.openxmlformats.org/officeDocument/2006/relationships/hyperlink" Target="https://my.zakupki.prom.ua/remote/dispatcher/state_contracting_view/13158892" TargetMode="External"/>
  <ns0:Relationship Id="rId1535" Type="http://schemas.openxmlformats.org/officeDocument/2006/relationships/hyperlink" Target="https://my.zakupki.prom.ua/remote/dispatcher/state_purchase_view/35715424" TargetMode="External"/>
  <ns0:Relationship Id="rId1536" Type="http://schemas.openxmlformats.org/officeDocument/2006/relationships/hyperlink" Target="https://my.zakupki.prom.ua/remote/dispatcher/state_contracting_view/13158979" TargetMode="External"/>
</ns0:Relationships>

</file>

<file path=xl/worksheets/sheet1.xml><?xml version="1.0" encoding="utf-8"?>
<worksheet xmlns="http://schemas.openxmlformats.org/spreadsheetml/2006/main" xmlns:r="http://schemas.openxmlformats.org/officeDocument/2006/relationships">
  <sheetPr>
    <outlinePr summaryBelow="1" summaryRight="1"/>
  </sheetPr>
  <dimension ref="A1:P767"/>
  <sheetViews>
    <sheetView workbookViewId="0">
      <pane ySplit="4" topLeftCell="A5" activePane="bottomLeft" state="frozen"/>
      <selection pane="bottomLeft" activeCell="A1" sqref="A1"/>
    </sheetView>
  </sheetViews>
  <sheetFormatPr defaultRowHeight="15" baseColWidth="10"/>
  <cols>
    <col width="5" min="1" max="1"/>
    <col width="25" min="2" max="2"/>
    <col width="25" min="3" max="3"/>
    <col width="25" min="4" max="4"/>
    <col width="60" min="5" max="5"/>
    <col width="35" min="6" max="6"/>
    <col width="35" min="7" max="7"/>
    <col width="35" min="8" max="8"/>
    <col width="30" min="9" max="9"/>
    <col width="30" min="10" max="10"/>
    <col width="15" min="11" max="11"/>
    <col width="15" min="12" max="12"/>
    <col width="15" min="13" max="13"/>
    <col width="10" min="14" max="14"/>
    <col width="10" min="15" max="15"/>
    <col width="10" min="16" max="16"/>
  </cols>
  <sheetData>
    <row r="1" spans="1:16">
      <c r="A1" t="s" s="1">
        <v>3238</v>
      </c>
    </row>
    <row r="2" spans="1:16">
      <c r="A2" t="s" s="2">
        <v>1861</v>
      </c>
    </row>
    <row r="4" spans="1:16">
      <c r="A4" t="s" s="3">
        <v>3295</v>
      </c>
      <c r="B4" t="s" s="3">
        <v>1868</v>
      </c>
      <c r="C4" t="s" s="3">
        <v>1869</v>
      </c>
      <c r="D4" t="s" s="3">
        <v>1545</v>
      </c>
      <c r="E4" t="s" s="3">
        <v>1867</v>
      </c>
      <c r="F4" t="s" s="3">
        <v>3181</v>
      </c>
      <c r="G4" t="s" s="3">
        <v>2950</v>
      </c>
      <c r="H4" t="s" s="3">
        <v>2078</v>
      </c>
      <c r="I4" t="s" s="3">
        <v>3163</v>
      </c>
      <c r="J4" t="s" s="3">
        <v>2934</v>
      </c>
      <c r="K4" t="s" s="3">
        <v>1863</v>
      </c>
      <c r="L4" t="s" s="3">
        <v>2892</v>
      </c>
      <c r="M4" t="s" s="3">
        <v>3035</v>
      </c>
      <c r="N4" t="s" s="3">
        <v>1977</v>
      </c>
      <c r="O4" t="s" s="3">
        <v>1976</v>
      </c>
      <c r="P4" t="s" s="3">
        <v>3023</v>
      </c>
    </row>
    <row r="5" spans="1:16">
      <c r="A5" t="n" s="4">
        <v>1</v>
      </c>
      <c r="B5" s="2">
        <f>HYPERLINK("https://my.zakupki.prom.ua/remote/dispatcher/state_purchase_view/39116009", "UA-2022-12-07-013899-a")</f>
        <v/>
      </c>
      <c r="C5" t="s" s="2">
        <v>2890</v>
      </c>
      <c r="D5" s="2">
        <f>HYPERLINK("https://my.zakupki.prom.ua/remote/dispatcher/state_contracting_view/14813534", "UA-2022-12-07-013899-a-b1")</f>
        <v/>
      </c>
      <c r="E5" t="s" s="1">
        <v>324</v>
      </c>
      <c r="F5" t="s" s="1">
        <v>2358</v>
      </c>
      <c r="G5" t="s" s="1">
        <v>2946</v>
      </c>
      <c r="H5" t="s" s="1">
        <v>638</v>
      </c>
      <c r="I5" t="s" s="1">
        <v>2017</v>
      </c>
      <c r="J5" t="s" s="1">
        <v>2039</v>
      </c>
      <c r="K5" t="s" s="1">
        <v>18</v>
      </c>
      <c r="L5" t="s" s="1">
        <v>971</v>
      </c>
      <c r="M5" t="n" s="5">
        <v>2500.0</v>
      </c>
      <c r="N5" t="n" s="7">
        <v>44901.0</v>
      </c>
      <c r="O5" t="n" s="7">
        <v>45291.0</v>
      </c>
      <c r="P5" t="s" s="1">
        <v>3240</v>
      </c>
    </row>
    <row r="6" spans="1:16">
      <c r="A6" t="n" s="4">
        <v>2</v>
      </c>
      <c r="B6" s="2">
        <f>HYPERLINK("https://my.zakupki.prom.ua/remote/dispatcher/state_purchase_view/39114732", "UA-2022-12-07-013242-a")</f>
        <v/>
      </c>
      <c r="C6" t="s" s="2">
        <v>2890</v>
      </c>
      <c r="D6" s="2">
        <f>HYPERLINK("https://my.zakupki.prom.ua/remote/dispatcher/state_contracting_view/14812728", "UA-2022-12-07-013242-a-c1")</f>
        <v/>
      </c>
      <c r="E6" t="s" s="1">
        <v>1629</v>
      </c>
      <c r="F6" t="s" s="1">
        <v>2761</v>
      </c>
      <c r="G6" t="s" s="1">
        <v>2943</v>
      </c>
      <c r="H6" t="s" s="1">
        <v>1443</v>
      </c>
      <c r="I6" t="s" s="1">
        <v>2017</v>
      </c>
      <c r="J6" t="s" s="1">
        <v>2035</v>
      </c>
      <c r="K6" t="s" s="1">
        <v>316</v>
      </c>
      <c r="L6" t="s" s="1">
        <v>1272</v>
      </c>
      <c r="M6" t="n" s="5">
        <v>20000.0</v>
      </c>
      <c r="N6" t="n" s="7">
        <v>44901.0</v>
      </c>
      <c r="O6" t="n" s="7">
        <v>45291.0</v>
      </c>
      <c r="P6" t="s" s="1">
        <v>3240</v>
      </c>
    </row>
    <row r="7" spans="1:16">
      <c r="A7" t="n" s="4">
        <v>3</v>
      </c>
      <c r="B7" s="2">
        <f>HYPERLINK("https://my.zakupki.prom.ua/remote/dispatcher/state_purchase_view/39113728", "UA-2022-12-07-012746-a")</f>
        <v/>
      </c>
      <c r="C7" t="s" s="2">
        <v>2890</v>
      </c>
      <c r="D7" s="2">
        <f>HYPERLINK("https://my.zakupki.prom.ua/remote/dispatcher/state_contracting_view/14812392", "UA-2022-12-07-012746-a-c1")</f>
        <v/>
      </c>
      <c r="E7" t="s" s="1">
        <v>565</v>
      </c>
      <c r="F7" t="s" s="1">
        <v>2758</v>
      </c>
      <c r="G7" t="s" s="1">
        <v>2813</v>
      </c>
      <c r="H7" t="s" s="1">
        <v>1443</v>
      </c>
      <c r="I7" t="s" s="1">
        <v>2017</v>
      </c>
      <c r="J7" t="s" s="1">
        <v>2040</v>
      </c>
      <c r="K7" t="s" s="1">
        <v>19</v>
      </c>
      <c r="L7" t="s" s="1">
        <v>1271</v>
      </c>
      <c r="M7" t="n" s="5">
        <v>15000.0</v>
      </c>
      <c r="N7" t="n" s="7">
        <v>44901.0</v>
      </c>
      <c r="O7" t="n" s="7">
        <v>45291.0</v>
      </c>
      <c r="P7" t="s" s="1">
        <v>3240</v>
      </c>
    </row>
    <row r="8" spans="1:16">
      <c r="A8" t="n" s="4">
        <v>4</v>
      </c>
      <c r="B8" s="2">
        <f>HYPERLINK("https://my.zakupki.prom.ua/remote/dispatcher/state_purchase_view/39292751", "UA-2022-12-13-008570-a")</f>
        <v/>
      </c>
      <c r="C8" t="s" s="2">
        <v>2890</v>
      </c>
      <c r="D8" s="2">
        <f>HYPERLINK("https://my.zakupki.prom.ua/remote/dispatcher/state_contracting_view/14895980", "UA-2022-12-13-008570-a-a1")</f>
        <v/>
      </c>
      <c r="E8" t="s" s="1">
        <v>88</v>
      </c>
      <c r="F8" t="s" s="1">
        <v>2760</v>
      </c>
      <c r="G8" t="s" s="1">
        <v>2870</v>
      </c>
      <c r="H8" t="s" s="1">
        <v>1443</v>
      </c>
      <c r="I8" t="s" s="1">
        <v>2017</v>
      </c>
      <c r="J8" t="s" s="1">
        <v>3137</v>
      </c>
      <c r="K8" t="s" s="1">
        <v>623</v>
      </c>
      <c r="L8" t="s" s="1">
        <v>65</v>
      </c>
      <c r="M8" t="n" s="5">
        <v>20000.0</v>
      </c>
      <c r="N8" t="n" s="7">
        <v>44904.0</v>
      </c>
      <c r="O8" t="n" s="7">
        <v>45291.0</v>
      </c>
      <c r="P8" t="s" s="1">
        <v>3240</v>
      </c>
    </row>
    <row r="9" spans="1:16">
      <c r="A9" t="n" s="4">
        <v>5</v>
      </c>
      <c r="B9" s="2">
        <f>HYPERLINK("https://my.zakupki.prom.ua/remote/dispatcher/state_purchase_view/38982335", "UA-2022-12-02-008339-a")</f>
        <v/>
      </c>
      <c r="C9" s="2">
        <f>HYPERLINK("https://my.zakupki.prom.ua/remote/dispatcher/state_purchase_lot_view/804794", "UA-2022-12-02-008339-a-L804794")</f>
        <v/>
      </c>
      <c r="D9" s="2">
        <f>HYPERLINK("https://my.zakupki.prom.ua/remote/dispatcher/state_contracting_view/15081130", "UA-2022-12-02-008339-a-a1")</f>
        <v/>
      </c>
      <c r="E9" t="s" s="1">
        <v>1371</v>
      </c>
      <c r="F9" t="s" s="1">
        <v>2175</v>
      </c>
      <c r="G9" t="s" s="1">
        <v>1998</v>
      </c>
      <c r="H9" t="s" s="1">
        <v>71</v>
      </c>
      <c r="I9" t="s" s="1">
        <v>1934</v>
      </c>
      <c r="J9" t="s" s="1">
        <v>3121</v>
      </c>
      <c r="K9" t="s" s="1">
        <v>857</v>
      </c>
      <c r="L9" t="s" s="1">
        <v>1336</v>
      </c>
      <c r="M9" t="n" s="5">
        <v>2067950.0</v>
      </c>
      <c r="N9" t="n" s="7">
        <v>44918.0</v>
      </c>
      <c r="O9" t="n" s="7">
        <v>45291.0</v>
      </c>
      <c r="P9" t="s" s="1">
        <v>3240</v>
      </c>
    </row>
    <row r="10" spans="1:16">
      <c r="A10" t="n" s="4">
        <v>6</v>
      </c>
      <c r="B10" s="2">
        <f>HYPERLINK("https://my.zakupki.prom.ua/remote/dispatcher/state_purchase_view/39105130", "UA-2022-12-07-008586-a")</f>
        <v/>
      </c>
      <c r="C10" t="s" s="2">
        <v>2890</v>
      </c>
      <c r="D10" s="2">
        <f>HYPERLINK("https://my.zakupki.prom.ua/remote/dispatcher/state_contracting_view/14808425", "UA-2022-12-07-008586-a-b1")</f>
        <v/>
      </c>
      <c r="E10" t="s" s="1">
        <v>1710</v>
      </c>
      <c r="F10" t="s" s="1">
        <v>2762</v>
      </c>
      <c r="G10" t="s" s="1">
        <v>2944</v>
      </c>
      <c r="H10" t="s" s="1">
        <v>1443</v>
      </c>
      <c r="I10" t="s" s="1">
        <v>2017</v>
      </c>
      <c r="J10" t="s" s="1">
        <v>2043</v>
      </c>
      <c r="K10" t="s" s="1">
        <v>321</v>
      </c>
      <c r="L10" t="s" s="1">
        <v>154</v>
      </c>
      <c r="M10" t="n" s="5">
        <v>1000.0</v>
      </c>
      <c r="N10" t="n" s="7">
        <v>44902.0</v>
      </c>
      <c r="O10" t="n" s="7">
        <v>45291.0</v>
      </c>
      <c r="P10" t="s" s="1">
        <v>3240</v>
      </c>
    </row>
    <row r="11" spans="1:16">
      <c r="A11" t="n" s="4">
        <v>7</v>
      </c>
      <c r="B11" s="2">
        <f>HYPERLINK("https://my.zakupki.prom.ua/remote/dispatcher/state_purchase_view/39118205", "UA-2022-12-07-014952-a")</f>
        <v/>
      </c>
      <c r="C11" t="s" s="2">
        <v>2890</v>
      </c>
      <c r="D11" s="2">
        <f>HYPERLINK("https://my.zakupki.prom.ua/remote/dispatcher/state_contracting_view/14814685", "UA-2022-12-07-014952-a-a1")</f>
        <v/>
      </c>
      <c r="E11" t="s" s="1">
        <v>1643</v>
      </c>
      <c r="F11" t="s" s="1">
        <v>2759</v>
      </c>
      <c r="G11" t="s" s="1">
        <v>2841</v>
      </c>
      <c r="H11" t="s" s="1">
        <v>1443</v>
      </c>
      <c r="I11" t="s" s="1">
        <v>2017</v>
      </c>
      <c r="J11" t="s" s="1">
        <v>2036</v>
      </c>
      <c r="K11" t="s" s="1">
        <v>266</v>
      </c>
      <c r="L11" t="s" s="1">
        <v>1270</v>
      </c>
      <c r="M11" t="n" s="5">
        <v>15000.0</v>
      </c>
      <c r="N11" t="n" s="7">
        <v>44901.0</v>
      </c>
      <c r="O11" t="n" s="7">
        <v>45291.0</v>
      </c>
      <c r="P11" t="s" s="1">
        <v>3240</v>
      </c>
    </row>
    <row r="12" spans="1:16">
      <c r="A12" t="n" s="4">
        <v>8</v>
      </c>
      <c r="B12" s="2">
        <f>HYPERLINK("https://my.zakupki.prom.ua/remote/dispatcher/state_purchase_view/38411488", "UA-2022-11-08-004659-a")</f>
        <v/>
      </c>
      <c r="C12" t="s" s="2">
        <v>2890</v>
      </c>
      <c r="D12" s="2">
        <f>HYPERLINK("https://my.zakupki.prom.ua/remote/dispatcher/state_contracting_view/14489619", "UA-2022-11-08-004659-a-a1")</f>
        <v/>
      </c>
      <c r="E12" t="s" s="1">
        <v>799</v>
      </c>
      <c r="F12" t="s" s="1">
        <v>2699</v>
      </c>
      <c r="G12" t="s" s="1">
        <v>2699</v>
      </c>
      <c r="H12" t="s" s="1">
        <v>1235</v>
      </c>
      <c r="I12" t="s" s="1">
        <v>2017</v>
      </c>
      <c r="J12" t="s" s="1">
        <v>3090</v>
      </c>
      <c r="K12" t="s" s="1">
        <v>692</v>
      </c>
      <c r="L12" t="s" s="1">
        <v>2896</v>
      </c>
      <c r="M12" t="n" s="5">
        <v>1803.0</v>
      </c>
      <c r="N12" t="n" s="7">
        <v>44873.0</v>
      </c>
      <c r="O12" t="n" s="7">
        <v>45238.0</v>
      </c>
      <c r="P12" t="s" s="1">
        <v>3240</v>
      </c>
    </row>
    <row r="13" spans="1:16">
      <c r="A13" t="n" s="4">
        <v>9</v>
      </c>
      <c r="B13" s="2">
        <f>HYPERLINK("https://my.zakupki.prom.ua/remote/dispatcher/state_purchase_view/38378453", "UA-2022-11-07-002814-a")</f>
        <v/>
      </c>
      <c r="C13" s="2">
        <f>HYPERLINK("https://my.zakupki.prom.ua/remote/dispatcher/state_purchase_lot_view/779391", "UA-2022-11-07-002814-a-L779391")</f>
        <v/>
      </c>
      <c r="D13" s="2">
        <f>HYPERLINK("https://my.zakupki.prom.ua/remote/dispatcher/state_contracting_view/14625343", "UA-2022-11-07-002814-a-a1")</f>
        <v/>
      </c>
      <c r="E13" t="s" s="1">
        <v>1017</v>
      </c>
      <c r="F13" t="s" s="1">
        <v>2799</v>
      </c>
      <c r="G13" t="s" s="1">
        <v>2799</v>
      </c>
      <c r="H13" t="s" s="1">
        <v>943</v>
      </c>
      <c r="I13" t="s" s="1">
        <v>1934</v>
      </c>
      <c r="J13" t="s" s="1">
        <v>3161</v>
      </c>
      <c r="K13" t="s" s="1">
        <v>761</v>
      </c>
      <c r="L13" t="s" s="1">
        <v>1244</v>
      </c>
      <c r="M13" t="n" s="5">
        <v>5095306.8</v>
      </c>
      <c r="N13" t="n" s="7">
        <v>44886.0</v>
      </c>
      <c r="O13" t="n" s="7">
        <v>45016.0</v>
      </c>
      <c r="P13" t="s" s="1">
        <v>3259</v>
      </c>
    </row>
    <row r="14" spans="1:16">
      <c r="A14" t="n" s="4">
        <v>10</v>
      </c>
      <c r="B14" s="2">
        <f>HYPERLINK("https://my.zakupki.prom.ua/remote/dispatcher/state_purchase_view/39145004", "UA-2022-12-08-007160-a")</f>
        <v/>
      </c>
      <c r="C14" t="s" s="2">
        <v>2890</v>
      </c>
      <c r="D14" s="2">
        <f>HYPERLINK("https://my.zakupki.prom.ua/remote/dispatcher/state_contracting_view/14827170", "UA-2022-12-08-007160-a-a1")</f>
        <v/>
      </c>
      <c r="E14" t="s" s="1">
        <v>1116</v>
      </c>
      <c r="F14" t="s" s="1">
        <v>2717</v>
      </c>
      <c r="G14" t="s" s="1">
        <v>3159</v>
      </c>
      <c r="H14" t="s" s="1">
        <v>1319</v>
      </c>
      <c r="I14" t="s" s="1">
        <v>2017</v>
      </c>
      <c r="J14" t="s" s="1">
        <v>1924</v>
      </c>
      <c r="K14" t="s" s="1">
        <v>331</v>
      </c>
      <c r="L14" t="s" s="1">
        <v>1274</v>
      </c>
      <c r="M14" t="n" s="5">
        <v>64342.0</v>
      </c>
      <c r="N14" t="n" s="7">
        <v>44903.0</v>
      </c>
      <c r="O14" t="n" s="7">
        <v>45016.0</v>
      </c>
      <c r="P14" t="s" s="1">
        <v>3259</v>
      </c>
    </row>
    <row r="15" spans="1:16">
      <c r="A15" t="n" s="4">
        <v>11</v>
      </c>
      <c r="B15" s="2">
        <f>HYPERLINK("https://my.zakupki.prom.ua/remote/dispatcher/state_purchase_view/38301302", "UA-2022-11-02-007250-a")</f>
        <v/>
      </c>
      <c r="C15" t="s" s="2">
        <v>2890</v>
      </c>
      <c r="D15" s="2">
        <f>HYPERLINK("https://my.zakupki.prom.ua/remote/dispatcher/state_contracting_view/14437815", "UA-2022-11-02-007250-a-a1")</f>
        <v/>
      </c>
      <c r="E15" t="s" s="1">
        <v>34</v>
      </c>
      <c r="F15" t="s" s="1">
        <v>2165</v>
      </c>
      <c r="G15" t="s" s="1">
        <v>2165</v>
      </c>
      <c r="H15" t="s" s="1">
        <v>67</v>
      </c>
      <c r="I15" t="s" s="1">
        <v>2017</v>
      </c>
      <c r="J15" t="s" s="1">
        <v>3107</v>
      </c>
      <c r="K15" t="s" s="1">
        <v>863</v>
      </c>
      <c r="L15" t="s" s="1">
        <v>122</v>
      </c>
      <c r="M15" t="n" s="5">
        <v>2483.08</v>
      </c>
      <c r="N15" t="n" s="7">
        <v>44865.0</v>
      </c>
      <c r="O15" t="n" s="7">
        <v>45016.0</v>
      </c>
      <c r="P15" t="s" s="1">
        <v>3240</v>
      </c>
    </row>
    <row r="16" spans="1:16">
      <c r="A16" t="n" s="4">
        <v>12</v>
      </c>
      <c r="B16" s="2">
        <f>HYPERLINK("https://my.zakupki.prom.ua/remote/dispatcher/state_purchase_view/35592276", "UA-2022-03-08-000321-a")</f>
        <v/>
      </c>
      <c r="C16" t="s" s="2">
        <v>2890</v>
      </c>
      <c r="D16" s="2">
        <f>HYPERLINK("https://my.zakupki.prom.ua/remote/dispatcher/state_contracting_view/13092289", "UA-2022-03-08-000321-a-a1")</f>
        <v/>
      </c>
      <c r="E16" t="s" s="1">
        <v>1575</v>
      </c>
      <c r="F16" t="s" s="1">
        <v>2418</v>
      </c>
      <c r="G16" t="s" s="1">
        <v>2908</v>
      </c>
      <c r="H16" t="s" s="1">
        <v>650</v>
      </c>
      <c r="I16" t="s" s="1">
        <v>2017</v>
      </c>
      <c r="J16" t="s" s="1">
        <v>3077</v>
      </c>
      <c r="K16" t="s" s="1">
        <v>398</v>
      </c>
      <c r="L16" t="s" s="1">
        <v>149</v>
      </c>
      <c r="M16" t="n" s="5">
        <v>2171.16</v>
      </c>
      <c r="N16" t="n" s="7">
        <v>44628.0</v>
      </c>
      <c r="O16" t="n" s="7">
        <v>44926.0</v>
      </c>
      <c r="P16" t="s" s="1">
        <v>3259</v>
      </c>
    </row>
    <row r="17" spans="1:16">
      <c r="A17" t="n" s="4">
        <v>13</v>
      </c>
      <c r="B17" s="2">
        <f>HYPERLINK("https://my.zakupki.prom.ua/remote/dispatcher/state_purchase_view/35635626", "UA-2022-03-14-001203-a")</f>
        <v/>
      </c>
      <c r="C17" t="s" s="2">
        <v>2890</v>
      </c>
      <c r="D17" s="2">
        <f>HYPERLINK("https://my.zakupki.prom.ua/remote/dispatcher/state_contracting_view/13116821", "UA-2022-03-14-001203-a-a1")</f>
        <v/>
      </c>
      <c r="E17" t="s" s="1">
        <v>62</v>
      </c>
      <c r="F17" t="s" s="1">
        <v>2542</v>
      </c>
      <c r="G17" t="s" s="1">
        <v>2542</v>
      </c>
      <c r="H17" t="s" s="1">
        <v>786</v>
      </c>
      <c r="I17" t="s" s="1">
        <v>2017</v>
      </c>
      <c r="J17" t="s" s="1">
        <v>3200</v>
      </c>
      <c r="K17" t="s" s="1">
        <v>463</v>
      </c>
      <c r="L17" t="s" s="1">
        <v>207</v>
      </c>
      <c r="M17" t="n" s="5">
        <v>7700.0</v>
      </c>
      <c r="N17" t="n" s="7">
        <v>44631.0</v>
      </c>
      <c r="O17" t="n" s="7">
        <v>44926.0</v>
      </c>
      <c r="P17" t="s" s="1">
        <v>3259</v>
      </c>
    </row>
    <row r="18" spans="1:16">
      <c r="A18" t="n" s="4">
        <v>14</v>
      </c>
      <c r="B18" s="2">
        <f>HYPERLINK("https://my.zakupki.prom.ua/remote/dispatcher/state_purchase_view/35790018", "UA-2022-03-30-002110-b")</f>
        <v/>
      </c>
      <c r="C18" t="s" s="2">
        <v>2890</v>
      </c>
      <c r="D18" s="2">
        <f>HYPERLINK("https://my.zakupki.prom.ua/remote/dispatcher/state_contracting_view/13201132", "UA-2022-03-30-002110-b-b1")</f>
        <v/>
      </c>
      <c r="E18" t="s" s="1">
        <v>1752</v>
      </c>
      <c r="F18" t="s" s="1">
        <v>2300</v>
      </c>
      <c r="G18" t="s" s="1">
        <v>2300</v>
      </c>
      <c r="H18" t="s" s="1">
        <v>582</v>
      </c>
      <c r="I18" t="s" s="1">
        <v>2017</v>
      </c>
      <c r="J18" t="s" s="1">
        <v>1927</v>
      </c>
      <c r="K18" t="s" s="1">
        <v>320</v>
      </c>
      <c r="L18" t="s" s="1">
        <v>254</v>
      </c>
      <c r="M18" t="n" s="5">
        <v>3916.0</v>
      </c>
      <c r="N18" t="n" s="7">
        <v>44651.0</v>
      </c>
      <c r="O18" t="n" s="7">
        <v>44926.0</v>
      </c>
      <c r="P18" t="s" s="1">
        <v>3259</v>
      </c>
    </row>
    <row r="19" spans="1:16">
      <c r="A19" t="n" s="4">
        <v>15</v>
      </c>
      <c r="B19" s="2">
        <f>HYPERLINK("https://my.zakupki.prom.ua/remote/dispatcher/state_purchase_view/34904644", "UA-2022-02-07-010925-b")</f>
        <v/>
      </c>
      <c r="C19" t="s" s="2">
        <v>2890</v>
      </c>
      <c r="D19" s="2">
        <f>HYPERLINK("https://my.zakupki.prom.ua/remote/dispatcher/state_contracting_view/12952033", "UA-2022-02-07-010925-b-b1")</f>
        <v/>
      </c>
      <c r="E19" t="s" s="1">
        <v>85</v>
      </c>
      <c r="F19" t="s" s="1">
        <v>2778</v>
      </c>
      <c r="G19" t="s" s="1">
        <v>2778</v>
      </c>
      <c r="H19" t="s" s="1">
        <v>1485</v>
      </c>
      <c r="I19" t="s" s="1">
        <v>2933</v>
      </c>
      <c r="J19" t="s" s="1">
        <v>2041</v>
      </c>
      <c r="K19" t="s" s="1">
        <v>30</v>
      </c>
      <c r="L19" t="s" s="1">
        <v>554</v>
      </c>
      <c r="M19" t="n" s="5">
        <v>183041.76</v>
      </c>
      <c r="N19" t="n" s="7">
        <v>44610.0</v>
      </c>
      <c r="O19" t="n" s="7">
        <v>44926.0</v>
      </c>
      <c r="P19" t="s" s="1">
        <v>3259</v>
      </c>
    </row>
    <row r="20" spans="1:16">
      <c r="A20" t="n" s="4">
        <v>16</v>
      </c>
      <c r="B20" s="2">
        <f>HYPERLINK("https://my.zakupki.prom.ua/remote/dispatcher/state_purchase_view/35293132", "UA-2022-02-17-012099-b")</f>
        <v/>
      </c>
      <c r="C20" t="s" s="2">
        <v>2890</v>
      </c>
      <c r="D20" s="2">
        <f>HYPERLINK("https://my.zakupki.prom.ua/remote/dispatcher/state_contracting_view/12944268", "UA-2022-02-17-012099-b-b1")</f>
        <v/>
      </c>
      <c r="E20" t="s" s="1">
        <v>1706</v>
      </c>
      <c r="F20" t="s" s="1">
        <v>2429</v>
      </c>
      <c r="G20" t="s" s="1">
        <v>3205</v>
      </c>
      <c r="H20" t="s" s="1">
        <v>650</v>
      </c>
      <c r="I20" t="s" s="1">
        <v>2017</v>
      </c>
      <c r="J20" t="s" s="1">
        <v>3134</v>
      </c>
      <c r="K20" t="s" s="1">
        <v>401</v>
      </c>
      <c r="L20" t="s" s="1">
        <v>106</v>
      </c>
      <c r="M20" t="n" s="5">
        <v>442815.0</v>
      </c>
      <c r="N20" t="n" s="7">
        <v>44609.0</v>
      </c>
      <c r="O20" t="n" s="7">
        <v>44926.0</v>
      </c>
      <c r="P20" t="s" s="1">
        <v>3259</v>
      </c>
    </row>
    <row r="21" spans="1:16">
      <c r="A21" t="n" s="4">
        <v>17</v>
      </c>
      <c r="B21" s="2">
        <f>HYPERLINK("https://my.zakupki.prom.ua/remote/dispatcher/state_purchase_view/35300760", "UA-2022-02-17-014825-b")</f>
        <v/>
      </c>
      <c r="C21" t="s" s="2">
        <v>2890</v>
      </c>
      <c r="D21" s="2">
        <f>HYPERLINK("https://my.zakupki.prom.ua/remote/dispatcher/state_contracting_view/12956036", "UA-2022-02-17-014825-b-b1")</f>
        <v/>
      </c>
      <c r="E21" t="s" s="1">
        <v>238</v>
      </c>
      <c r="F21" t="s" s="1">
        <v>2294</v>
      </c>
      <c r="G21" t="s" s="1">
        <v>2294</v>
      </c>
      <c r="H21" t="s" s="1">
        <v>579</v>
      </c>
      <c r="I21" t="s" s="1">
        <v>2017</v>
      </c>
      <c r="J21" t="s" s="1">
        <v>3145</v>
      </c>
      <c r="K21" t="s" s="1">
        <v>495</v>
      </c>
      <c r="L21" t="s" s="1">
        <v>3048</v>
      </c>
      <c r="M21" t="n" s="5">
        <v>1167.4</v>
      </c>
      <c r="N21" t="n" s="7">
        <v>44609.0</v>
      </c>
      <c r="O21" t="n" s="7">
        <v>44926.0</v>
      </c>
      <c r="P21" t="s" s="1">
        <v>3259</v>
      </c>
    </row>
    <row r="22" spans="1:16">
      <c r="A22" t="n" s="4">
        <v>18</v>
      </c>
      <c r="B22" s="2">
        <f>HYPERLINK("https://my.zakupki.prom.ua/remote/dispatcher/state_purchase_view/35206639", "UA-2022-02-15-011597-b")</f>
        <v/>
      </c>
      <c r="C22" t="s" s="2">
        <v>2890</v>
      </c>
      <c r="D22" s="2">
        <f>HYPERLINK("https://my.zakupki.prom.ua/remote/dispatcher/state_contracting_view/12903095", "UA-2022-02-15-011597-b-b1")</f>
        <v/>
      </c>
      <c r="E22" t="s" s="1">
        <v>1531</v>
      </c>
      <c r="F22" t="s" s="1">
        <v>2133</v>
      </c>
      <c r="G22" t="s" s="1">
        <v>2015</v>
      </c>
      <c r="H22" t="s" s="1">
        <v>377</v>
      </c>
      <c r="I22" t="s" s="1">
        <v>2017</v>
      </c>
      <c r="J22" t="s" s="1">
        <v>1952</v>
      </c>
      <c r="K22" t="s" s="1">
        <v>540</v>
      </c>
      <c r="L22" t="s" s="1">
        <v>1512</v>
      </c>
      <c r="M22" t="n" s="5">
        <v>6819.28</v>
      </c>
      <c r="N22" t="n" s="7">
        <v>44607.0</v>
      </c>
      <c r="O22" t="n" s="7">
        <v>44926.0</v>
      </c>
      <c r="P22" t="s" s="1">
        <v>3259</v>
      </c>
    </row>
    <row r="23" spans="1:16">
      <c r="A23" t="n" s="4">
        <v>19</v>
      </c>
      <c r="B23" s="2">
        <f>HYPERLINK("https://my.zakupki.prom.ua/remote/dispatcher/state_purchase_view/35231496", "UA-2022-02-16-005533-b")</f>
        <v/>
      </c>
      <c r="C23" t="s" s="2">
        <v>2890</v>
      </c>
      <c r="D23" s="2">
        <f>HYPERLINK("https://my.zakupki.prom.ua/remote/dispatcher/state_contracting_view/12915264", "UA-2022-02-16-005533-b-b1")</f>
        <v/>
      </c>
      <c r="E23" t="s" s="1">
        <v>521</v>
      </c>
      <c r="F23" t="s" s="1">
        <v>2427</v>
      </c>
      <c r="G23" t="s" s="1">
        <v>3178</v>
      </c>
      <c r="H23" t="s" s="1">
        <v>650</v>
      </c>
      <c r="I23" t="s" s="1">
        <v>2017</v>
      </c>
      <c r="J23" t="s" s="1">
        <v>3061</v>
      </c>
      <c r="K23" t="s" s="1">
        <v>652</v>
      </c>
      <c r="L23" t="s" s="1">
        <v>937</v>
      </c>
      <c r="M23" t="n" s="5">
        <v>4732.0</v>
      </c>
      <c r="N23" t="n" s="7">
        <v>44607.0</v>
      </c>
      <c r="O23" t="n" s="7">
        <v>44926.0</v>
      </c>
      <c r="P23" t="s" s="1">
        <v>3259</v>
      </c>
    </row>
    <row r="24" spans="1:16">
      <c r="A24" t="n" s="4">
        <v>20</v>
      </c>
      <c r="B24" s="2">
        <f>HYPERLINK("https://my.zakupki.prom.ua/remote/dispatcher/state_purchase_view/35104760", "UA-2022-02-11-010078-b")</f>
        <v/>
      </c>
      <c r="C24" t="s" s="2">
        <v>2890</v>
      </c>
      <c r="D24" s="2">
        <f>HYPERLINK("https://my.zakupki.prom.ua/remote/dispatcher/state_contracting_view/12854275", "UA-2022-02-11-010078-b-b1")</f>
        <v/>
      </c>
      <c r="E24" t="s" s="1">
        <v>1686</v>
      </c>
      <c r="F24" t="s" s="1">
        <v>2757</v>
      </c>
      <c r="G24" t="s" s="1">
        <v>2757</v>
      </c>
      <c r="H24" t="s" s="1">
        <v>1443</v>
      </c>
      <c r="I24" t="s" s="1">
        <v>2017</v>
      </c>
      <c r="J24" t="s" s="1">
        <v>2035</v>
      </c>
      <c r="K24" t="s" s="1">
        <v>316</v>
      </c>
      <c r="L24" t="s" s="1">
        <v>95</v>
      </c>
      <c r="M24" t="n" s="5">
        <v>21700.0</v>
      </c>
      <c r="N24" t="n" s="7">
        <v>44602.0</v>
      </c>
      <c r="O24" t="n" s="7">
        <v>44926.0</v>
      </c>
      <c r="P24" t="s" s="1">
        <v>3259</v>
      </c>
    </row>
    <row r="25" spans="1:16">
      <c r="A25" t="n" s="4">
        <v>21</v>
      </c>
      <c r="B25" s="2">
        <f>HYPERLINK("https://my.zakupki.prom.ua/remote/dispatcher/state_purchase_view/34027251", "UA-2022-01-12-003028-a")</f>
        <v/>
      </c>
      <c r="C25" t="s" s="2">
        <v>2890</v>
      </c>
      <c r="D25" s="2">
        <f>HYPERLINK("https://my.zakupki.prom.ua/remote/dispatcher/state_contracting_view/12374630", "UA-2022-01-12-003028-a-a1")</f>
        <v/>
      </c>
      <c r="E25" t="s" s="1">
        <v>1625</v>
      </c>
      <c r="F25" t="s" s="1">
        <v>2740</v>
      </c>
      <c r="G25" t="s" s="1">
        <v>2740</v>
      </c>
      <c r="H25" t="s" s="1">
        <v>1399</v>
      </c>
      <c r="I25" t="s" s="1">
        <v>2017</v>
      </c>
      <c r="J25" t="s" s="1">
        <v>3180</v>
      </c>
      <c r="K25" t="s" s="1">
        <v>819</v>
      </c>
      <c r="L25" t="s" s="1">
        <v>493</v>
      </c>
      <c r="M25" t="n" s="5">
        <v>9600.0</v>
      </c>
      <c r="N25" t="n" s="7">
        <v>44573.0</v>
      </c>
      <c r="O25" t="n" s="7">
        <v>44926.0</v>
      </c>
      <c r="P25" t="s" s="1">
        <v>3259</v>
      </c>
    </row>
    <row r="26" spans="1:16">
      <c r="A26" t="n" s="4">
        <v>22</v>
      </c>
      <c r="B26" s="2">
        <f>HYPERLINK("https://my.zakupki.prom.ua/remote/dispatcher/state_purchase_view/34784471", "UA-2022-02-03-003957-b")</f>
        <v/>
      </c>
      <c r="C26" t="s" s="2">
        <v>2890</v>
      </c>
      <c r="D26" s="2">
        <f>HYPERLINK("https://my.zakupki.prom.ua/remote/dispatcher/state_contracting_view/12704477", "UA-2022-02-03-003957-b-b1")</f>
        <v/>
      </c>
      <c r="E26" t="s" s="1">
        <v>1552</v>
      </c>
      <c r="F26" t="s" s="1">
        <v>2658</v>
      </c>
      <c r="G26" t="s" s="1">
        <v>3272</v>
      </c>
      <c r="H26" t="s" s="1">
        <v>1022</v>
      </c>
      <c r="I26" t="s" s="1">
        <v>2017</v>
      </c>
      <c r="J26" t="s" s="1">
        <v>3141</v>
      </c>
      <c r="K26" t="s" s="1">
        <v>367</v>
      </c>
      <c r="L26" t="s" s="1">
        <v>999</v>
      </c>
      <c r="M26" t="n" s="5">
        <v>3362.0</v>
      </c>
      <c r="N26" t="n" s="7">
        <v>44595.0</v>
      </c>
      <c r="O26" t="n" s="7">
        <v>44926.0</v>
      </c>
      <c r="P26" t="s" s="1">
        <v>3259</v>
      </c>
    </row>
    <row r="27" spans="1:16">
      <c r="A27" t="n" s="4">
        <v>23</v>
      </c>
      <c r="B27" s="2">
        <f>HYPERLINK("https://my.zakupki.prom.ua/remote/dispatcher/state_purchase_view/34533511", "UA-2022-01-27-007987-b")</f>
        <v/>
      </c>
      <c r="C27" t="s" s="2">
        <v>2890</v>
      </c>
      <c r="D27" s="2">
        <f>HYPERLINK("https://my.zakupki.prom.ua/remote/dispatcher/state_contracting_view/12591103", "UA-2022-01-27-007987-b-b1")</f>
        <v/>
      </c>
      <c r="E27" t="s" s="1">
        <v>527</v>
      </c>
      <c r="F27" t="s" s="1">
        <v>2210</v>
      </c>
      <c r="G27" t="s" s="1">
        <v>2210</v>
      </c>
      <c r="H27" t="s" s="1">
        <v>196</v>
      </c>
      <c r="I27" t="s" s="1">
        <v>2017</v>
      </c>
      <c r="J27" t="s" s="1">
        <v>3237</v>
      </c>
      <c r="K27" t="s" s="1">
        <v>687</v>
      </c>
      <c r="L27" t="s" s="1">
        <v>833</v>
      </c>
      <c r="M27" t="n" s="5">
        <v>13500.0</v>
      </c>
      <c r="N27" t="n" s="7">
        <v>44588.0</v>
      </c>
      <c r="O27" t="n" s="7">
        <v>44926.0</v>
      </c>
      <c r="P27" t="s" s="1">
        <v>3259</v>
      </c>
    </row>
    <row r="28" spans="1:16">
      <c r="A28" t="n" s="4">
        <v>24</v>
      </c>
      <c r="B28" s="2">
        <f>HYPERLINK("https://my.zakupki.prom.ua/remote/dispatcher/state_purchase_view/34928261", "UA-2022-02-08-002498-b")</f>
        <v/>
      </c>
      <c r="C28" t="s" s="2">
        <v>2890</v>
      </c>
      <c r="D28" s="2">
        <f>HYPERLINK("https://my.zakupki.prom.ua/remote/dispatcher/state_contracting_view/12771191", "UA-2022-02-08-002498-b-b1")</f>
        <v/>
      </c>
      <c r="E28" t="s" s="1">
        <v>528</v>
      </c>
      <c r="F28" t="s" s="1">
        <v>2673</v>
      </c>
      <c r="G28" t="s" s="1">
        <v>2673</v>
      </c>
      <c r="H28" t="s" s="1">
        <v>1027</v>
      </c>
      <c r="I28" t="s" s="1">
        <v>2017</v>
      </c>
      <c r="J28" t="s" s="1">
        <v>1970</v>
      </c>
      <c r="K28" t="s" s="1">
        <v>40</v>
      </c>
      <c r="L28" t="s" s="1">
        <v>351</v>
      </c>
      <c r="M28" t="n" s="5">
        <v>4054.8</v>
      </c>
      <c r="N28" t="n" s="7">
        <v>44600.0</v>
      </c>
      <c r="O28" t="n" s="7">
        <v>44926.0</v>
      </c>
      <c r="P28" t="s" s="1">
        <v>3259</v>
      </c>
    </row>
    <row r="29" spans="1:16">
      <c r="A29" t="n" s="4">
        <v>25</v>
      </c>
      <c r="B29" s="2">
        <f>HYPERLINK("https://my.zakupki.prom.ua/remote/dispatcher/state_purchase_view/34944511", "UA-2022-02-08-008317-b")</f>
        <v/>
      </c>
      <c r="C29" t="s" s="2">
        <v>2890</v>
      </c>
      <c r="D29" s="2">
        <f>HYPERLINK("https://my.zakupki.prom.ua/remote/dispatcher/state_contracting_view/12784893", "UA-2022-02-08-008317-b-b1")</f>
        <v/>
      </c>
      <c r="E29" t="s" s="1">
        <v>832</v>
      </c>
      <c r="F29" t="s" s="1">
        <v>2188</v>
      </c>
      <c r="G29" t="s" s="1">
        <v>2188</v>
      </c>
      <c r="H29" t="s" s="1">
        <v>177</v>
      </c>
      <c r="I29" t="s" s="1">
        <v>2017</v>
      </c>
      <c r="J29" t="s" s="1">
        <v>2985</v>
      </c>
      <c r="K29" t="s" s="1">
        <v>563</v>
      </c>
      <c r="L29" t="s" s="1">
        <v>1354</v>
      </c>
      <c r="M29" t="n" s="5">
        <v>49840.0</v>
      </c>
      <c r="N29" t="n" s="7">
        <v>44600.0</v>
      </c>
      <c r="O29" t="n" s="7">
        <v>44926.0</v>
      </c>
      <c r="P29" t="s" s="1">
        <v>3259</v>
      </c>
    </row>
    <row r="30" spans="1:16">
      <c r="A30" t="n" s="4">
        <v>26</v>
      </c>
      <c r="B30" s="2">
        <f>HYPERLINK("https://my.zakupki.prom.ua/remote/dispatcher/state_purchase_view/36326215", "UA-2022-06-08-006669-a")</f>
        <v/>
      </c>
      <c r="C30" t="s" s="2">
        <v>2890</v>
      </c>
      <c r="D30" s="2">
        <f>HYPERLINK("https://my.zakupki.prom.ua/remote/dispatcher/state_contracting_view/13474429", "UA-2022-06-08-006669-a-b1")</f>
        <v/>
      </c>
      <c r="E30" t="s" s="1">
        <v>1467</v>
      </c>
      <c r="F30" t="s" s="1">
        <v>2657</v>
      </c>
      <c r="G30" t="s" s="1">
        <v>2657</v>
      </c>
      <c r="H30" t="s" s="1">
        <v>1022</v>
      </c>
      <c r="I30" t="s" s="1">
        <v>2017</v>
      </c>
      <c r="J30" t="s" s="1">
        <v>3117</v>
      </c>
      <c r="K30" t="s" s="1">
        <v>747</v>
      </c>
      <c r="L30" t="s" s="1">
        <v>60</v>
      </c>
      <c r="M30" t="n" s="5">
        <v>18480.0</v>
      </c>
      <c r="N30" t="n" s="7">
        <v>44720.0</v>
      </c>
      <c r="O30" t="n" s="7">
        <v>44926.0</v>
      </c>
      <c r="P30" t="s" s="1">
        <v>3259</v>
      </c>
    </row>
    <row r="31" spans="1:16">
      <c r="A31" t="n" s="4">
        <v>27</v>
      </c>
      <c r="B31" s="2">
        <f>HYPERLINK("https://my.zakupki.prom.ua/remote/dispatcher/state_purchase_view/36240764", "UA-2022-05-30-004292-a")</f>
        <v/>
      </c>
      <c r="C31" t="s" s="2">
        <v>2890</v>
      </c>
      <c r="D31" s="2">
        <f>HYPERLINK("https://my.zakupki.prom.ua/remote/dispatcher/state_contracting_view/13431925", "UA-2022-05-30-004292-a-b1")</f>
        <v/>
      </c>
      <c r="E31" t="s" s="1">
        <v>801</v>
      </c>
      <c r="F31" t="s" s="1">
        <v>2449</v>
      </c>
      <c r="G31" t="s" s="1">
        <v>1900</v>
      </c>
      <c r="H31" t="s" s="1">
        <v>650</v>
      </c>
      <c r="I31" t="s" s="1">
        <v>2017</v>
      </c>
      <c r="J31" t="s" s="1">
        <v>3113</v>
      </c>
      <c r="K31" t="s" s="1">
        <v>398</v>
      </c>
      <c r="L31" t="s" s="1">
        <v>543</v>
      </c>
      <c r="M31" t="n" s="5">
        <v>1500.0</v>
      </c>
      <c r="N31" t="n" s="7">
        <v>44711.0</v>
      </c>
      <c r="O31" t="n" s="7">
        <v>44926.0</v>
      </c>
      <c r="P31" t="s" s="1">
        <v>3259</v>
      </c>
    </row>
    <row r="32" spans="1:16">
      <c r="A32" t="n" s="4">
        <v>28</v>
      </c>
      <c r="B32" s="2">
        <f>HYPERLINK("https://my.zakupki.prom.ua/remote/dispatcher/state_purchase_view/36224391", "UA-2022-05-27-001052-a")</f>
        <v/>
      </c>
      <c r="C32" t="s" s="2">
        <v>2890</v>
      </c>
      <c r="D32" s="2">
        <f>HYPERLINK("https://my.zakupki.prom.ua/remote/dispatcher/state_contracting_view/13421987", "UA-2022-05-27-001052-a-b1")</f>
        <v/>
      </c>
      <c r="E32" t="s" s="1">
        <v>1788</v>
      </c>
      <c r="F32" t="s" s="1">
        <v>2525</v>
      </c>
      <c r="G32" t="s" s="1">
        <v>2525</v>
      </c>
      <c r="H32" t="s" s="1">
        <v>774</v>
      </c>
      <c r="I32" t="s" s="1">
        <v>2017</v>
      </c>
      <c r="J32" t="s" s="1">
        <v>1927</v>
      </c>
      <c r="K32" t="s" s="1">
        <v>320</v>
      </c>
      <c r="L32" t="s" s="1">
        <v>512</v>
      </c>
      <c r="M32" t="n" s="5">
        <v>292.0</v>
      </c>
      <c r="N32" t="n" s="7">
        <v>44708.0</v>
      </c>
      <c r="O32" t="n" s="7">
        <v>44926.0</v>
      </c>
      <c r="P32" t="s" s="1">
        <v>3259</v>
      </c>
    </row>
    <row r="33" spans="1:16">
      <c r="A33" t="n" s="4">
        <v>29</v>
      </c>
      <c r="B33" s="2">
        <f>HYPERLINK("https://my.zakupki.prom.ua/remote/dispatcher/state_purchase_view/36171066", "UA-2022-05-20-000936-a")</f>
        <v/>
      </c>
      <c r="C33" t="s" s="2">
        <v>2890</v>
      </c>
      <c r="D33" s="2">
        <f>HYPERLINK("https://my.zakupki.prom.ua/remote/dispatcher/state_contracting_view/13394142", "UA-2022-05-20-000936-a-b1")</f>
        <v/>
      </c>
      <c r="E33" t="s" s="1">
        <v>385</v>
      </c>
      <c r="F33" t="s" s="1">
        <v>2670</v>
      </c>
      <c r="G33" t="s" s="1">
        <v>2670</v>
      </c>
      <c r="H33" t="s" s="1">
        <v>1025</v>
      </c>
      <c r="I33" t="s" s="1">
        <v>2017</v>
      </c>
      <c r="J33" t="s" s="1">
        <v>3110</v>
      </c>
      <c r="K33" t="s" s="1">
        <v>890</v>
      </c>
      <c r="L33" t="s" s="1">
        <v>153</v>
      </c>
      <c r="M33" t="n" s="5">
        <v>23400.0</v>
      </c>
      <c r="N33" t="n" s="7">
        <v>44701.0</v>
      </c>
      <c r="O33" t="n" s="7">
        <v>44926.0</v>
      </c>
      <c r="P33" t="s" s="1">
        <v>3259</v>
      </c>
    </row>
    <row r="34" spans="1:16">
      <c r="A34" t="n" s="4">
        <v>30</v>
      </c>
      <c r="B34" s="2">
        <f>HYPERLINK("https://my.zakupki.prom.ua/remote/dispatcher/state_purchase_view/36347193", "UA-2022-06-10-003600-a")</f>
        <v/>
      </c>
      <c r="C34" t="s" s="2">
        <v>2890</v>
      </c>
      <c r="D34" s="2">
        <f>HYPERLINK("https://my.zakupki.prom.ua/remote/dispatcher/state_contracting_view/13484898", "UA-2022-06-10-003600-a-b1")</f>
        <v/>
      </c>
      <c r="E34" t="s" s="1">
        <v>1574</v>
      </c>
      <c r="F34" t="s" s="1">
        <v>2715</v>
      </c>
      <c r="G34" t="s" s="1">
        <v>2715</v>
      </c>
      <c r="H34" t="s" s="1">
        <v>1319</v>
      </c>
      <c r="I34" t="s" s="1">
        <v>2017</v>
      </c>
      <c r="J34" t="s" s="1">
        <v>1907</v>
      </c>
      <c r="K34" t="s" s="1">
        <v>263</v>
      </c>
      <c r="L34" t="s" s="1">
        <v>587</v>
      </c>
      <c r="M34" t="n" s="5">
        <v>5418.0</v>
      </c>
      <c r="N34" t="n" s="7">
        <v>44722.0</v>
      </c>
      <c r="O34" t="n" s="7">
        <v>44926.0</v>
      </c>
      <c r="P34" t="s" s="1">
        <v>3259</v>
      </c>
    </row>
    <row r="35" spans="1:16">
      <c r="A35" t="n" s="4">
        <v>31</v>
      </c>
      <c r="B35" s="2">
        <f>HYPERLINK("https://my.zakupki.prom.ua/remote/dispatcher/state_purchase_view/36639134", "UA-2022-07-12-000397-a")</f>
        <v/>
      </c>
      <c r="C35" t="s" s="2">
        <v>2890</v>
      </c>
      <c r="D35" s="2">
        <f>HYPERLINK("https://my.zakupki.prom.ua/remote/dispatcher/state_contracting_view/13629935", "UA-2022-07-12-000397-a-b1")</f>
        <v/>
      </c>
      <c r="E35" t="s" s="1">
        <v>1534</v>
      </c>
      <c r="F35" t="s" s="1">
        <v>2658</v>
      </c>
      <c r="G35" t="s" s="1">
        <v>2658</v>
      </c>
      <c r="H35" t="s" s="1">
        <v>1022</v>
      </c>
      <c r="I35" t="s" s="1">
        <v>2017</v>
      </c>
      <c r="J35" t="s" s="1">
        <v>3140</v>
      </c>
      <c r="K35" t="s" s="1">
        <v>367</v>
      </c>
      <c r="L35" t="s" s="1">
        <v>730</v>
      </c>
      <c r="M35" t="n" s="5">
        <v>8122.0</v>
      </c>
      <c r="N35" t="n" s="7">
        <v>44754.0</v>
      </c>
      <c r="O35" t="n" s="7">
        <v>44926.0</v>
      </c>
      <c r="P35" t="s" s="1">
        <v>3259</v>
      </c>
    </row>
    <row r="36" spans="1:16">
      <c r="A36" t="n" s="4">
        <v>32</v>
      </c>
      <c r="B36" s="2">
        <f>HYPERLINK("https://my.zakupki.prom.ua/remote/dispatcher/state_purchase_view/36673563", "UA-2022-07-14-001386-a")</f>
        <v/>
      </c>
      <c r="C36" t="s" s="2">
        <v>2890</v>
      </c>
      <c r="D36" s="2">
        <f>HYPERLINK("https://my.zakupki.prom.ua/remote/dispatcher/state_contracting_view/13646144", "UA-2022-07-14-001386-a-b1")</f>
        <v/>
      </c>
      <c r="E36" t="s" s="1">
        <v>1570</v>
      </c>
      <c r="F36" t="s" s="1">
        <v>2218</v>
      </c>
      <c r="G36" t="s" s="1">
        <v>3224</v>
      </c>
      <c r="H36" t="s" s="1">
        <v>198</v>
      </c>
      <c r="I36" t="s" s="1">
        <v>2017</v>
      </c>
      <c r="J36" t="s" s="1">
        <v>3237</v>
      </c>
      <c r="K36" t="s" s="1">
        <v>687</v>
      </c>
      <c r="L36" t="s" s="1">
        <v>740</v>
      </c>
      <c r="M36" t="n" s="5">
        <v>14000.0</v>
      </c>
      <c r="N36" t="n" s="7">
        <v>44754.0</v>
      </c>
      <c r="O36" t="n" s="7">
        <v>44926.0</v>
      </c>
      <c r="P36" t="s" s="1">
        <v>3259</v>
      </c>
    </row>
    <row r="37" spans="1:16">
      <c r="A37" t="n" s="4">
        <v>33</v>
      </c>
      <c r="B37" s="2">
        <f>HYPERLINK("https://my.zakupki.prom.ua/remote/dispatcher/state_purchase_view/36720214", "UA-2022-07-19-000842-a")</f>
        <v/>
      </c>
      <c r="C37" t="s" s="2">
        <v>2890</v>
      </c>
      <c r="D37" s="2">
        <f>HYPERLINK("https://my.zakupki.prom.ua/remote/dispatcher/state_contracting_view/13667537", "UA-2022-07-19-000842-a-b1")</f>
        <v/>
      </c>
      <c r="E37" t="s" s="1">
        <v>1765</v>
      </c>
      <c r="F37" t="s" s="1">
        <v>2635</v>
      </c>
      <c r="G37" t="s" s="1">
        <v>2978</v>
      </c>
      <c r="H37" t="s" s="1">
        <v>933</v>
      </c>
      <c r="I37" t="s" s="1">
        <v>2017</v>
      </c>
      <c r="J37" t="s" s="1">
        <v>1927</v>
      </c>
      <c r="K37" t="s" s="1">
        <v>320</v>
      </c>
      <c r="L37" t="s" s="1">
        <v>820</v>
      </c>
      <c r="M37" t="n" s="5">
        <v>70.0</v>
      </c>
      <c r="N37" t="n" s="7">
        <v>44760.0</v>
      </c>
      <c r="O37" t="n" s="7">
        <v>44926.0</v>
      </c>
      <c r="P37" t="s" s="1">
        <v>3259</v>
      </c>
    </row>
    <row r="38" spans="1:16">
      <c r="A38" t="n" s="4">
        <v>34</v>
      </c>
      <c r="B38" s="2">
        <f>HYPERLINK("https://my.zakupki.prom.ua/remote/dispatcher/state_purchase_view/36707215", "UA-2022-07-18-002505-a")</f>
        <v/>
      </c>
      <c r="C38" t="s" s="2">
        <v>2890</v>
      </c>
      <c r="D38" s="2">
        <f>HYPERLINK("https://my.zakupki.prom.ua/remote/dispatcher/state_contracting_view/13661654", "UA-2022-07-18-002505-a-b1")</f>
        <v/>
      </c>
      <c r="E38" t="s" s="1">
        <v>1537</v>
      </c>
      <c r="F38" t="s" s="1">
        <v>2147</v>
      </c>
      <c r="G38" t="s" s="1">
        <v>1990</v>
      </c>
      <c r="H38" t="s" s="1">
        <v>653</v>
      </c>
      <c r="I38" t="s" s="1">
        <v>2017</v>
      </c>
      <c r="J38" t="s" s="1">
        <v>3131</v>
      </c>
      <c r="K38" t="s" s="1">
        <v>743</v>
      </c>
      <c r="L38" t="s" s="1">
        <v>221</v>
      </c>
      <c r="M38" t="n" s="5">
        <v>25975.32</v>
      </c>
      <c r="N38" t="n" s="7">
        <v>44757.0</v>
      </c>
      <c r="O38" t="n" s="7">
        <v>44926.0</v>
      </c>
      <c r="P38" t="s" s="1">
        <v>3259</v>
      </c>
    </row>
    <row r="39" spans="1:16">
      <c r="A39" t="n" s="4">
        <v>35</v>
      </c>
      <c r="B39" s="2">
        <f>HYPERLINK("https://my.zakupki.prom.ua/remote/dispatcher/state_purchase_view/36823400", "UA-2022-07-27-002555-a")</f>
        <v/>
      </c>
      <c r="C39" t="s" s="2">
        <v>2890</v>
      </c>
      <c r="D39" s="2">
        <f>HYPERLINK("https://my.zakupki.prom.ua/remote/dispatcher/state_contracting_view/13716000", "UA-2022-07-27-002555-a-b1")</f>
        <v/>
      </c>
      <c r="E39" t="s" s="1">
        <v>1818</v>
      </c>
      <c r="F39" t="s" s="1">
        <v>2220</v>
      </c>
      <c r="G39" t="s" s="1">
        <v>3039</v>
      </c>
      <c r="H39" t="s" s="1">
        <v>199</v>
      </c>
      <c r="I39" t="s" s="1">
        <v>2017</v>
      </c>
      <c r="J39" t="s" s="1">
        <v>3237</v>
      </c>
      <c r="K39" t="s" s="1">
        <v>687</v>
      </c>
      <c r="L39" t="s" s="1">
        <v>899</v>
      </c>
      <c r="M39" t="n" s="5">
        <v>3000.0</v>
      </c>
      <c r="N39" t="n" s="7">
        <v>44768.0</v>
      </c>
      <c r="O39" t="n" s="7">
        <v>44926.0</v>
      </c>
      <c r="P39" t="s" s="1">
        <v>3259</v>
      </c>
    </row>
    <row r="40" spans="1:16">
      <c r="A40" t="n" s="4">
        <v>36</v>
      </c>
      <c r="B40" s="2">
        <f>HYPERLINK("https://my.zakupki.prom.ua/remote/dispatcher/state_purchase_view/36840356", "UA-2022-07-28-002557-a")</f>
        <v/>
      </c>
      <c r="C40" t="s" s="2">
        <v>2890</v>
      </c>
      <c r="D40" s="2">
        <f>HYPERLINK("https://my.zakupki.prom.ua/remote/dispatcher/state_contracting_view/13723869", "UA-2022-07-28-002557-a-b1")</f>
        <v/>
      </c>
      <c r="E40" t="s" s="1">
        <v>1640</v>
      </c>
      <c r="F40" t="s" s="1">
        <v>2769</v>
      </c>
      <c r="G40" t="s" s="1">
        <v>2769</v>
      </c>
      <c r="H40" t="s" s="1">
        <v>1445</v>
      </c>
      <c r="I40" t="s" s="1">
        <v>2017</v>
      </c>
      <c r="J40" t="s" s="1">
        <v>1968</v>
      </c>
      <c r="K40" t="s" s="1">
        <v>756</v>
      </c>
      <c r="L40" t="s" s="1">
        <v>3</v>
      </c>
      <c r="M40" t="n" s="5">
        <v>939.0</v>
      </c>
      <c r="N40" t="n" s="7">
        <v>44770.0</v>
      </c>
      <c r="O40" t="n" s="7">
        <v>44926.0</v>
      </c>
      <c r="P40" t="s" s="1">
        <v>3259</v>
      </c>
    </row>
    <row r="41" spans="1:16">
      <c r="A41" t="n" s="4">
        <v>37</v>
      </c>
      <c r="B41" s="2">
        <f>HYPERLINK("https://my.zakupki.prom.ua/remote/dispatcher/state_purchase_view/36865991", "UA-2022-08-01-001154-a")</f>
        <v/>
      </c>
      <c r="C41" t="s" s="2">
        <v>2890</v>
      </c>
      <c r="D41" s="2">
        <f>HYPERLINK("https://my.zakupki.prom.ua/remote/dispatcher/state_contracting_view/13736068", "UA-2022-08-01-001154-a-b1")</f>
        <v/>
      </c>
      <c r="E41" t="s" s="1">
        <v>1825</v>
      </c>
      <c r="F41" t="s" s="1">
        <v>2723</v>
      </c>
      <c r="G41" t="s" s="1">
        <v>2723</v>
      </c>
      <c r="H41" t="s" s="1">
        <v>1320</v>
      </c>
      <c r="I41" t="s" s="1">
        <v>2017</v>
      </c>
      <c r="J41" t="s" s="1">
        <v>3133</v>
      </c>
      <c r="K41" t="s" s="1">
        <v>877</v>
      </c>
      <c r="L41" t="s" s="1">
        <v>454</v>
      </c>
      <c r="M41" t="n" s="5">
        <v>8200.0</v>
      </c>
      <c r="N41" t="n" s="7">
        <v>44774.0</v>
      </c>
      <c r="O41" t="n" s="7">
        <v>44926.0</v>
      </c>
      <c r="P41" t="s" s="1">
        <v>3259</v>
      </c>
    </row>
    <row r="42" spans="1:16">
      <c r="A42" t="n" s="4">
        <v>38</v>
      </c>
      <c r="B42" s="2">
        <f>HYPERLINK("https://my.zakupki.prom.ua/remote/dispatcher/state_purchase_view/37410712", "UA-2022-09-08-002947-a")</f>
        <v/>
      </c>
      <c r="C42" t="s" s="2">
        <v>2890</v>
      </c>
      <c r="D42" s="2">
        <f>HYPERLINK("https://my.zakupki.prom.ua/remote/dispatcher/state_contracting_view/13997801", "UA-2022-09-08-002947-a-b1")</f>
        <v/>
      </c>
      <c r="E42" t="s" s="1">
        <v>1042</v>
      </c>
      <c r="F42" t="s" s="1">
        <v>2653</v>
      </c>
      <c r="G42" t="s" s="1">
        <v>0</v>
      </c>
      <c r="H42" t="s" s="1">
        <v>980</v>
      </c>
      <c r="I42" t="s" s="1">
        <v>2017</v>
      </c>
      <c r="J42" t="s" s="1">
        <v>3143</v>
      </c>
      <c r="K42" t="s" s="1">
        <v>929</v>
      </c>
      <c r="L42" t="s" s="1">
        <v>2905</v>
      </c>
      <c r="M42" t="n" s="5">
        <v>8470.0</v>
      </c>
      <c r="N42" t="n" s="7">
        <v>44812.0</v>
      </c>
      <c r="O42" t="n" s="7">
        <v>44926.0</v>
      </c>
      <c r="P42" t="s" s="1">
        <v>3259</v>
      </c>
    </row>
    <row r="43" spans="1:16">
      <c r="A43" t="n" s="4">
        <v>39</v>
      </c>
      <c r="B43" s="2">
        <f>HYPERLINK("https://my.zakupki.prom.ua/remote/dispatcher/state_purchase_view/37669974", "UA-2022-09-23-007928-a")</f>
        <v/>
      </c>
      <c r="C43" t="s" s="2">
        <v>2890</v>
      </c>
      <c r="D43" s="2">
        <f>HYPERLINK("https://my.zakupki.prom.ua/remote/dispatcher/state_contracting_view/14124982", "UA-2022-09-23-007928-a-b1")</f>
        <v/>
      </c>
      <c r="E43" t="s" s="1">
        <v>1793</v>
      </c>
      <c r="F43" t="s" s="1">
        <v>2253</v>
      </c>
      <c r="G43" t="s" s="1">
        <v>1876</v>
      </c>
      <c r="H43" t="s" s="1">
        <v>378</v>
      </c>
      <c r="I43" t="s" s="1">
        <v>2017</v>
      </c>
      <c r="J43" t="s" s="1">
        <v>1951</v>
      </c>
      <c r="K43" t="s" s="1">
        <v>560</v>
      </c>
      <c r="L43" t="s" s="1">
        <v>1066</v>
      </c>
      <c r="M43" t="n" s="5">
        <v>2187.5</v>
      </c>
      <c r="N43" t="n" s="7">
        <v>44827.0</v>
      </c>
      <c r="O43" t="n" s="7">
        <v>44926.0</v>
      </c>
      <c r="P43" t="s" s="1">
        <v>3259</v>
      </c>
    </row>
    <row r="44" spans="1:16">
      <c r="A44" t="n" s="4">
        <v>40</v>
      </c>
      <c r="B44" s="2">
        <f>HYPERLINK("https://my.zakupki.prom.ua/remote/dispatcher/state_purchase_view/37714524", "UA-2022-09-27-007409-a")</f>
        <v/>
      </c>
      <c r="C44" t="s" s="2">
        <v>2890</v>
      </c>
      <c r="D44" s="2">
        <f>HYPERLINK("https://my.zakupki.prom.ua/remote/dispatcher/state_contracting_view/14147374", "UA-2022-09-27-007409-a-a1")</f>
        <v/>
      </c>
      <c r="E44" t="s" s="1">
        <v>1598</v>
      </c>
      <c r="F44" t="s" s="1">
        <v>2530</v>
      </c>
      <c r="G44" t="s" s="1">
        <v>2932</v>
      </c>
      <c r="H44" t="s" s="1">
        <v>774</v>
      </c>
      <c r="I44" t="s" s="1">
        <v>2017</v>
      </c>
      <c r="J44" t="s" s="1">
        <v>1927</v>
      </c>
      <c r="K44" t="s" s="1">
        <v>320</v>
      </c>
      <c r="L44" t="s" s="1">
        <v>1077</v>
      </c>
      <c r="M44" t="n" s="5">
        <v>298.0</v>
      </c>
      <c r="N44" t="n" s="7">
        <v>44831.0</v>
      </c>
      <c r="O44" t="n" s="7">
        <v>44926.0</v>
      </c>
      <c r="P44" t="s" s="1">
        <v>3259</v>
      </c>
    </row>
    <row r="45" spans="1:16">
      <c r="A45" t="n" s="4">
        <v>41</v>
      </c>
      <c r="B45" s="2">
        <f>HYPERLINK("https://my.zakupki.prom.ua/remote/dispatcher/state_purchase_view/37050550", "UA-2022-08-12-006194-a")</f>
        <v/>
      </c>
      <c r="C45" t="s" s="2">
        <v>2890</v>
      </c>
      <c r="D45" s="2">
        <f>HYPERLINK("https://my.zakupki.prom.ua/remote/dispatcher/state_contracting_view/13823556", "UA-2022-08-12-006194-a-b1")</f>
        <v/>
      </c>
      <c r="E45" t="s" s="1">
        <v>294</v>
      </c>
      <c r="F45" t="s" s="1">
        <v>2749</v>
      </c>
      <c r="G45" t="s" s="1">
        <v>2749</v>
      </c>
      <c r="H45" t="s" s="1">
        <v>1420</v>
      </c>
      <c r="I45" t="s" s="1">
        <v>2017</v>
      </c>
      <c r="J45" t="s" s="1">
        <v>1969</v>
      </c>
      <c r="K45" t="s" s="1">
        <v>317</v>
      </c>
      <c r="L45" t="s" s="1">
        <v>259</v>
      </c>
      <c r="M45" t="n" s="5">
        <v>870.84</v>
      </c>
      <c r="N45" t="n" s="7">
        <v>44785.0</v>
      </c>
      <c r="O45" t="n" s="7">
        <v>44926.0</v>
      </c>
      <c r="P45" t="s" s="1">
        <v>3259</v>
      </c>
    </row>
    <row r="46" spans="1:16">
      <c r="A46" t="n" s="4">
        <v>42</v>
      </c>
      <c r="B46" s="2">
        <f>HYPERLINK("https://my.zakupki.prom.ua/remote/dispatcher/state_purchase_view/37882557", "UA-2022-10-07-005667-a")</f>
        <v/>
      </c>
      <c r="C46" t="s" s="2">
        <v>2890</v>
      </c>
      <c r="D46" s="2">
        <f>HYPERLINK("https://my.zakupki.prom.ua/remote/dispatcher/state_contracting_view/14229455", "UA-2022-10-07-005667-a-c1")</f>
        <v/>
      </c>
      <c r="E46" t="s" s="1">
        <v>1821</v>
      </c>
      <c r="F46" t="s" s="1">
        <v>2544</v>
      </c>
      <c r="G46" t="s" s="1">
        <v>3291</v>
      </c>
      <c r="H46" t="s" s="1">
        <v>790</v>
      </c>
      <c r="I46" t="s" s="1">
        <v>2017</v>
      </c>
      <c r="J46" t="s" s="1">
        <v>1927</v>
      </c>
      <c r="K46" t="s" s="1">
        <v>320</v>
      </c>
      <c r="L46" t="s" s="1">
        <v>1113</v>
      </c>
      <c r="M46" t="n" s="5">
        <v>25345.0</v>
      </c>
      <c r="N46" t="n" s="7">
        <v>44841.0</v>
      </c>
      <c r="O46" t="n" s="7">
        <v>44926.0</v>
      </c>
      <c r="P46" t="s" s="1">
        <v>3259</v>
      </c>
    </row>
    <row r="47" spans="1:16">
      <c r="A47" t="n" s="4">
        <v>43</v>
      </c>
      <c r="B47" s="2">
        <f>HYPERLINK("https://my.zakupki.prom.ua/remote/dispatcher/state_purchase_view/38363242", "UA-2022-11-04-009085-a")</f>
        <v/>
      </c>
      <c r="C47" t="s" s="2">
        <v>2890</v>
      </c>
      <c r="D47" s="2">
        <f>HYPERLINK("https://my.zakupki.prom.ua/remote/dispatcher/state_contracting_view/14466900", "UA-2022-11-04-009085-a-a1")</f>
        <v/>
      </c>
      <c r="E47" t="s" s="1">
        <v>1576</v>
      </c>
      <c r="F47" t="s" s="1">
        <v>2633</v>
      </c>
      <c r="G47" t="s" s="1">
        <v>2633</v>
      </c>
      <c r="H47" t="s" s="1">
        <v>933</v>
      </c>
      <c r="I47" t="s" s="1">
        <v>2017</v>
      </c>
      <c r="J47" t="s" s="1">
        <v>1927</v>
      </c>
      <c r="K47" t="s" s="1">
        <v>320</v>
      </c>
      <c r="L47" t="s" s="1">
        <v>1196</v>
      </c>
      <c r="M47" t="n" s="5">
        <v>156.0</v>
      </c>
      <c r="N47" t="n" s="7">
        <v>44869.0</v>
      </c>
      <c r="O47" t="n" s="7">
        <v>44926.0</v>
      </c>
      <c r="P47" t="s" s="1">
        <v>3259</v>
      </c>
    </row>
    <row r="48" spans="1:16">
      <c r="A48" t="n" s="4">
        <v>44</v>
      </c>
      <c r="B48" s="2">
        <f>HYPERLINK("https://my.zakupki.prom.ua/remote/dispatcher/state_purchase_view/39677322", "UA-2022-12-23-005493-a")</f>
        <v/>
      </c>
      <c r="C48" t="s" s="2">
        <v>2890</v>
      </c>
      <c r="D48" s="2">
        <f>HYPERLINK("https://my.zakupki.prom.ua/remote/dispatcher/state_contracting_view/15079488", "UA-2022-12-23-005493-a-b1")</f>
        <v/>
      </c>
      <c r="E48" t="s" s="1">
        <v>1014</v>
      </c>
      <c r="F48" t="s" s="1">
        <v>2781</v>
      </c>
      <c r="G48" t="s" s="1">
        <v>2941</v>
      </c>
      <c r="H48" t="s" s="1">
        <v>1486</v>
      </c>
      <c r="I48" t="s" s="1">
        <v>2017</v>
      </c>
      <c r="J48" t="s" s="1">
        <v>2029</v>
      </c>
      <c r="K48" t="s" s="1">
        <v>473</v>
      </c>
      <c r="L48" t="s" s="1">
        <v>1332</v>
      </c>
      <c r="M48" t="n" s="5">
        <v>4543.0</v>
      </c>
      <c r="N48" t="n" s="7">
        <v>44918.0</v>
      </c>
      <c r="O48" t="n" s="7">
        <v>44926.0</v>
      </c>
      <c r="P48" t="s" s="1">
        <v>3259</v>
      </c>
    </row>
    <row r="49" spans="1:16">
      <c r="A49" t="n" s="4">
        <v>45</v>
      </c>
      <c r="B49" s="2">
        <f>HYPERLINK("https://my.zakupki.prom.ua/remote/dispatcher/state_purchase_view/39691601", "UA-2022-12-23-012536-a")</f>
        <v/>
      </c>
      <c r="C49" t="s" s="2">
        <v>2890</v>
      </c>
      <c r="D49" s="2">
        <f>HYPERLINK("https://my.zakupki.prom.ua/remote/dispatcher/state_contracting_view/15086595", "UA-2022-12-23-012536-a-b1")</f>
        <v/>
      </c>
      <c r="E49" t="s" s="1">
        <v>614</v>
      </c>
      <c r="F49" t="s" s="1">
        <v>2639</v>
      </c>
      <c r="G49" t="s" s="1">
        <v>2821</v>
      </c>
      <c r="H49" t="s" s="1">
        <v>934</v>
      </c>
      <c r="I49" t="s" s="1">
        <v>2017</v>
      </c>
      <c r="J49" t="s" s="1">
        <v>1927</v>
      </c>
      <c r="K49" t="s" s="1">
        <v>320</v>
      </c>
      <c r="L49" t="s" s="1">
        <v>1337</v>
      </c>
      <c r="M49" t="n" s="5">
        <v>260.0</v>
      </c>
      <c r="N49" t="n" s="7">
        <v>44918.0</v>
      </c>
      <c r="O49" t="n" s="7">
        <v>44926.0</v>
      </c>
      <c r="P49" t="s" s="1">
        <v>3259</v>
      </c>
    </row>
    <row r="50" spans="1:16">
      <c r="A50" t="n" s="4">
        <v>46</v>
      </c>
      <c r="B50" s="2">
        <f>HYPERLINK("https://my.zakupki.prom.ua/remote/dispatcher/state_purchase_view/38506429", "UA-2022-11-11-005739-a")</f>
        <v/>
      </c>
      <c r="C50" t="s" s="2">
        <v>2890</v>
      </c>
      <c r="D50" s="2">
        <f>HYPERLINK("https://my.zakupki.prom.ua/remote/dispatcher/state_contracting_view/14533472", "UA-2022-11-11-005739-a-a1")</f>
        <v/>
      </c>
      <c r="E50" t="s" s="1">
        <v>1660</v>
      </c>
      <c r="F50" t="s" s="1">
        <v>2584</v>
      </c>
      <c r="G50" t="s" s="1">
        <v>1941</v>
      </c>
      <c r="H50" t="s" s="1">
        <v>907</v>
      </c>
      <c r="I50" t="s" s="1">
        <v>2017</v>
      </c>
      <c r="J50" t="s" s="1">
        <v>3145</v>
      </c>
      <c r="K50" t="s" s="1">
        <v>495</v>
      </c>
      <c r="L50" t="s" s="1">
        <v>3045</v>
      </c>
      <c r="M50" t="n" s="5">
        <v>7730.0</v>
      </c>
      <c r="N50" t="n" s="7">
        <v>44876.0</v>
      </c>
      <c r="O50" t="n" s="7">
        <v>44926.0</v>
      </c>
      <c r="P50" t="s" s="1">
        <v>3259</v>
      </c>
    </row>
    <row r="51" spans="1:16">
      <c r="A51" t="n" s="4">
        <v>47</v>
      </c>
      <c r="B51" s="2">
        <f>HYPERLINK("https://my.zakupki.prom.ua/remote/dispatcher/state_purchase_view/38560583", "UA-2022-11-15-000852-a")</f>
        <v/>
      </c>
      <c r="C51" t="s" s="2">
        <v>2890</v>
      </c>
      <c r="D51" s="2">
        <f>HYPERLINK("https://my.zakupki.prom.ua/remote/dispatcher/state_contracting_view/14558425", "UA-2022-11-15-000852-a-a1")</f>
        <v/>
      </c>
      <c r="E51" t="s" s="1">
        <v>1806</v>
      </c>
      <c r="F51" t="s" s="1">
        <v>2476</v>
      </c>
      <c r="G51" t="s" s="1">
        <v>3033</v>
      </c>
      <c r="H51" t="s" s="1">
        <v>650</v>
      </c>
      <c r="I51" t="s" s="1">
        <v>2017</v>
      </c>
      <c r="J51" t="s" s="1">
        <v>3113</v>
      </c>
      <c r="K51" t="s" s="1">
        <v>398</v>
      </c>
      <c r="L51" t="s" s="1">
        <v>1218</v>
      </c>
      <c r="M51" t="n" s="5">
        <v>38384.0</v>
      </c>
      <c r="N51" t="n" s="7">
        <v>44879.0</v>
      </c>
      <c r="O51" t="n" s="7">
        <v>44926.0</v>
      </c>
      <c r="P51" t="s" s="1">
        <v>3259</v>
      </c>
    </row>
    <row r="52" spans="1:16">
      <c r="A52" t="n" s="4">
        <v>48</v>
      </c>
      <c r="B52" s="2">
        <f>HYPERLINK("https://my.zakupki.prom.ua/remote/dispatcher/state_purchase_view/39145856", "UA-2022-12-08-007571-a")</f>
        <v/>
      </c>
      <c r="C52" t="s" s="2">
        <v>2890</v>
      </c>
      <c r="D52" s="2">
        <f>HYPERLINK("https://my.zakupki.prom.ua/remote/dispatcher/state_contracting_view/14828388", "UA-2022-12-08-007571-a-c1")</f>
        <v/>
      </c>
      <c r="E52" t="s" s="1">
        <v>1388</v>
      </c>
      <c r="F52" t="s" s="1">
        <v>2807</v>
      </c>
      <c r="G52" t="s" s="1">
        <v>3158</v>
      </c>
      <c r="H52" t="s" s="1">
        <v>1319</v>
      </c>
      <c r="I52" t="s" s="1">
        <v>2017</v>
      </c>
      <c r="J52" t="s" s="1">
        <v>1924</v>
      </c>
      <c r="K52" t="s" s="1">
        <v>331</v>
      </c>
      <c r="L52" t="s" s="1">
        <v>1275</v>
      </c>
      <c r="M52" t="n" s="5">
        <v>5691.0</v>
      </c>
      <c r="N52" t="n" s="7">
        <v>44903.0</v>
      </c>
      <c r="O52" t="n" s="7">
        <v>44926.0</v>
      </c>
      <c r="P52" t="s" s="1">
        <v>3259</v>
      </c>
    </row>
    <row r="53" spans="1:16">
      <c r="A53" t="n" s="4">
        <v>49</v>
      </c>
      <c r="B53" s="2">
        <f>HYPERLINK("https://my.zakupki.prom.ua/remote/dispatcher/state_purchase_view/39768884", "UA-2022-12-27-001575-a")</f>
        <v/>
      </c>
      <c r="C53" t="s" s="2">
        <v>2890</v>
      </c>
      <c r="D53" s="2">
        <f>HYPERLINK("https://my.zakupki.prom.ua/remote/dispatcher/state_contracting_view/15123786", "UA-2022-12-27-001575-a-c1")</f>
        <v/>
      </c>
      <c r="E53" t="s" s="1">
        <v>1335</v>
      </c>
      <c r="F53" t="s" s="1">
        <v>2467</v>
      </c>
      <c r="G53" t="s" s="1">
        <v>2885</v>
      </c>
      <c r="H53" t="s" s="1">
        <v>650</v>
      </c>
      <c r="I53" t="s" s="1">
        <v>2017</v>
      </c>
      <c r="J53" t="s" s="1">
        <v>3113</v>
      </c>
      <c r="K53" t="s" s="1">
        <v>398</v>
      </c>
      <c r="L53" t="s" s="1">
        <v>1364</v>
      </c>
      <c r="M53" t="n" s="5">
        <v>61757.4</v>
      </c>
      <c r="N53" t="n" s="7">
        <v>44921.0</v>
      </c>
      <c r="O53" t="n" s="7">
        <v>44926.0</v>
      </c>
      <c r="P53" t="s" s="1">
        <v>3259</v>
      </c>
    </row>
    <row r="54" spans="1:16">
      <c r="A54" t="n" s="4">
        <v>50</v>
      </c>
      <c r="B54" s="2">
        <f>HYPERLINK("https://my.zakupki.prom.ua/remote/dispatcher/state_purchase_view/39791699", "UA-2022-12-27-012789-a")</f>
        <v/>
      </c>
      <c r="C54" t="s" s="2">
        <v>2890</v>
      </c>
      <c r="D54" s="2">
        <f>HYPERLINK("https://my.zakupki.prom.ua/remote/dispatcher/state_contracting_view/15134958", "UA-2022-12-27-012789-a-b1")</f>
        <v/>
      </c>
      <c r="E54" t="s" s="1">
        <v>945</v>
      </c>
      <c r="F54" t="s" s="1">
        <v>2470</v>
      </c>
      <c r="G54" t="s" s="1">
        <v>2891</v>
      </c>
      <c r="H54" t="s" s="1">
        <v>650</v>
      </c>
      <c r="I54" t="s" s="1">
        <v>2017</v>
      </c>
      <c r="J54" t="s" s="1">
        <v>3124</v>
      </c>
      <c r="K54" t="s" s="1">
        <v>337</v>
      </c>
      <c r="L54" t="s" s="1">
        <v>625</v>
      </c>
      <c r="M54" t="n" s="5">
        <v>23420.0</v>
      </c>
      <c r="N54" t="n" s="7">
        <v>44921.0</v>
      </c>
      <c r="O54" t="n" s="7">
        <v>44926.0</v>
      </c>
      <c r="P54" t="s" s="1">
        <v>3259</v>
      </c>
    </row>
    <row r="55" spans="1:16">
      <c r="A55" t="n" s="4">
        <v>51</v>
      </c>
      <c r="B55" s="2">
        <f>HYPERLINK("https://my.zakupki.prom.ua/remote/dispatcher/state_purchase_view/38920161", "UA-2022-11-30-010983-a")</f>
        <v/>
      </c>
      <c r="C55" t="s" s="2">
        <v>2890</v>
      </c>
      <c r="D55" s="2">
        <f>HYPERLINK("https://my.zakupki.prom.ua/remote/dispatcher/state_contracting_view/14724318", "UA-2022-11-30-010983-a-b1")</f>
        <v/>
      </c>
      <c r="E55" t="s" s="1">
        <v>1540</v>
      </c>
      <c r="F55" t="s" s="1">
        <v>2164</v>
      </c>
      <c r="G55" t="s" s="1">
        <v>3239</v>
      </c>
      <c r="H55" t="s" s="1">
        <v>33</v>
      </c>
      <c r="I55" t="s" s="1">
        <v>2017</v>
      </c>
      <c r="J55" t="s" s="1">
        <v>2862</v>
      </c>
      <c r="K55" t="s" s="1">
        <v>566</v>
      </c>
      <c r="L55" t="s" s="1">
        <v>1254</v>
      </c>
      <c r="M55" t="n" s="5">
        <v>9776.0</v>
      </c>
      <c r="N55" t="n" s="7">
        <v>44895.0</v>
      </c>
      <c r="O55" t="n" s="7">
        <v>44926.0</v>
      </c>
      <c r="P55" t="s" s="1">
        <v>3259</v>
      </c>
    </row>
    <row r="56" spans="1:16">
      <c r="A56" t="n" s="4">
        <v>52</v>
      </c>
      <c r="B56" s="2">
        <f>HYPERLINK("https://my.zakupki.prom.ua/remote/dispatcher/state_purchase_view/38607520", "UA-2022-11-16-009350-a")</f>
        <v/>
      </c>
      <c r="C56" s="2">
        <f>HYPERLINK("https://my.zakupki.prom.ua/remote/dispatcher/state_purchase_lot_view/788526", "UA-2022-11-16-009350-a-L788526")</f>
        <v/>
      </c>
      <c r="D56" s="2">
        <f>HYPERLINK("https://my.zakupki.prom.ua/remote/dispatcher/state_contracting_view/14766210", "UA-2022-11-16-009350-a-b1")</f>
        <v/>
      </c>
      <c r="E56" t="s" s="1">
        <v>79</v>
      </c>
      <c r="F56" t="s" s="1">
        <v>2080</v>
      </c>
      <c r="G56" t="s" s="1">
        <v>1917</v>
      </c>
      <c r="H56" t="s" s="1">
        <v>638</v>
      </c>
      <c r="I56" t="s" s="1">
        <v>1934</v>
      </c>
      <c r="J56" t="s" s="1">
        <v>3125</v>
      </c>
      <c r="K56" t="s" s="1">
        <v>690</v>
      </c>
      <c r="L56" t="s" s="1">
        <v>1260</v>
      </c>
      <c r="M56" t="n" s="5">
        <v>1041413.12</v>
      </c>
      <c r="N56" t="n" s="7">
        <v>44900.0</v>
      </c>
      <c r="O56" t="n" s="7">
        <v>44926.0</v>
      </c>
      <c r="P56" t="s" s="1">
        <v>3259</v>
      </c>
    </row>
    <row r="57" spans="1:16">
      <c r="A57" t="n" s="4">
        <v>53</v>
      </c>
      <c r="B57" s="2">
        <f>HYPERLINK("https://my.zakupki.prom.ua/remote/dispatcher/state_purchase_view/39185397", "UA-2022-12-09-004793-a")</f>
        <v/>
      </c>
      <c r="C57" t="s" s="2">
        <v>2890</v>
      </c>
      <c r="D57" s="2">
        <f>HYPERLINK("https://my.zakupki.prom.ua/remote/dispatcher/state_contracting_view/14845462", "UA-2022-12-09-004793-a-a1")</f>
        <v/>
      </c>
      <c r="E57" t="s" s="1">
        <v>1630</v>
      </c>
      <c r="F57" t="s" s="1">
        <v>2698</v>
      </c>
      <c r="G57" t="s" s="1">
        <v>2940</v>
      </c>
      <c r="H57" t="s" s="1">
        <v>1223</v>
      </c>
      <c r="I57" t="s" s="1">
        <v>2017</v>
      </c>
      <c r="J57" t="s" s="1">
        <v>2910</v>
      </c>
      <c r="K57" t="s" s="1">
        <v>4</v>
      </c>
      <c r="L57" t="s" s="1">
        <v>1309</v>
      </c>
      <c r="M57" t="n" s="5">
        <v>2000.0</v>
      </c>
      <c r="N57" t="n" s="7">
        <v>44904.0</v>
      </c>
      <c r="O57" t="n" s="7">
        <v>44926.0</v>
      </c>
      <c r="P57" t="s" s="1">
        <v>3259</v>
      </c>
    </row>
    <row r="58" spans="1:16">
      <c r="A58" t="n" s="4">
        <v>54</v>
      </c>
      <c r="B58" s="2">
        <f>HYPERLINK("https://my.zakupki.prom.ua/remote/dispatcher/state_purchase_view/39355742", "UA-2022-12-14-015539-a")</f>
        <v/>
      </c>
      <c r="C58" t="s" s="2">
        <v>2890</v>
      </c>
      <c r="D58" s="2">
        <f>HYPERLINK("https://my.zakupki.prom.ua/remote/dispatcher/state_contracting_view/14925121", "UA-2022-12-14-015539-a-a1")</f>
        <v/>
      </c>
      <c r="E58" t="s" s="1">
        <v>1847</v>
      </c>
      <c r="F58" t="s" s="1">
        <v>2475</v>
      </c>
      <c r="G58" t="s" s="1">
        <v>3017</v>
      </c>
      <c r="H58" t="s" s="1">
        <v>650</v>
      </c>
      <c r="I58" t="s" s="1">
        <v>2017</v>
      </c>
      <c r="J58" t="s" s="1">
        <v>3113</v>
      </c>
      <c r="K58" t="s" s="1">
        <v>398</v>
      </c>
      <c r="L58" t="s" s="1">
        <v>1316</v>
      </c>
      <c r="M58" t="n" s="5">
        <v>6041.34</v>
      </c>
      <c r="N58" t="n" s="7">
        <v>44907.0</v>
      </c>
      <c r="O58" t="n" s="7">
        <v>44926.0</v>
      </c>
      <c r="P58" t="s" s="1">
        <v>3259</v>
      </c>
    </row>
    <row r="59" spans="1:16">
      <c r="A59" t="n" s="4">
        <v>55</v>
      </c>
      <c r="B59" s="2">
        <f>HYPERLINK("https://my.zakupki.prom.ua/remote/dispatcher/state_purchase_view/35948651", "UA-2022-04-18-002814-a")</f>
        <v/>
      </c>
      <c r="C59" t="s" s="2">
        <v>2890</v>
      </c>
      <c r="D59" s="2">
        <f>HYPERLINK("https://my.zakupki.prom.ua/remote/dispatcher/state_contracting_view/13280066", "UA-2022-04-18-002814-a-a1")</f>
        <v/>
      </c>
      <c r="E59" t="s" s="1">
        <v>1699</v>
      </c>
      <c r="F59" t="s" s="1">
        <v>2499</v>
      </c>
      <c r="G59" t="s" s="1">
        <v>2499</v>
      </c>
      <c r="H59" t="s" s="1">
        <v>656</v>
      </c>
      <c r="I59" t="s" s="1">
        <v>2017</v>
      </c>
      <c r="J59" t="s" s="1">
        <v>2852</v>
      </c>
      <c r="K59" t="s" s="1">
        <v>318</v>
      </c>
      <c r="L59" t="s" s="1">
        <v>414</v>
      </c>
      <c r="M59" t="n" s="5">
        <v>14552.0</v>
      </c>
      <c r="N59" t="n" s="7">
        <v>44669.0</v>
      </c>
      <c r="O59" t="n" s="7">
        <v>44926.0</v>
      </c>
      <c r="P59" t="s" s="1">
        <v>3259</v>
      </c>
    </row>
    <row r="60" spans="1:16">
      <c r="A60" t="n" s="4">
        <v>56</v>
      </c>
      <c r="B60" s="2">
        <f>HYPERLINK("https://my.zakupki.prom.ua/remote/dispatcher/state_purchase_view/36224110", "UA-2022-05-27-000853-a")</f>
        <v/>
      </c>
      <c r="C60" t="s" s="2">
        <v>2890</v>
      </c>
      <c r="D60" s="2">
        <f>HYPERLINK("https://my.zakupki.prom.ua/remote/dispatcher/state_contracting_view/13421798", "UA-2022-05-27-000853-a-b1")</f>
        <v/>
      </c>
      <c r="E60" t="s" s="1">
        <v>1108</v>
      </c>
      <c r="F60" t="s" s="1">
        <v>2181</v>
      </c>
      <c r="G60" t="s" s="1">
        <v>2181</v>
      </c>
      <c r="H60" t="s" s="1">
        <v>166</v>
      </c>
      <c r="I60" t="s" s="1">
        <v>2017</v>
      </c>
      <c r="J60" t="s" s="1">
        <v>1927</v>
      </c>
      <c r="K60" t="s" s="1">
        <v>320</v>
      </c>
      <c r="L60" t="s" s="1">
        <v>502</v>
      </c>
      <c r="M60" t="n" s="5">
        <v>315.0</v>
      </c>
      <c r="N60" t="n" s="7">
        <v>44708.0</v>
      </c>
      <c r="O60" t="n" s="7">
        <v>44926.0</v>
      </c>
      <c r="P60" t="s" s="1">
        <v>3259</v>
      </c>
    </row>
    <row r="61" spans="1:16">
      <c r="A61" t="n" s="4">
        <v>57</v>
      </c>
      <c r="B61" s="2">
        <f>HYPERLINK("https://my.zakupki.prom.ua/remote/dispatcher/state_purchase_view/35947107", "UA-2022-04-18-002207-a")</f>
        <v/>
      </c>
      <c r="C61" t="s" s="2">
        <v>2890</v>
      </c>
      <c r="D61" s="2">
        <f>HYPERLINK("https://my.zakupki.prom.ua/remote/dispatcher/state_contracting_view/13279149", "UA-2022-04-18-002207-a-a1")</f>
        <v/>
      </c>
      <c r="E61" t="s" s="1">
        <v>137</v>
      </c>
      <c r="F61" t="s" s="1">
        <v>2560</v>
      </c>
      <c r="G61" t="s" s="1">
        <v>2560</v>
      </c>
      <c r="H61" t="s" s="1">
        <v>900</v>
      </c>
      <c r="I61" t="s" s="1">
        <v>2017</v>
      </c>
      <c r="J61" t="s" s="1">
        <v>3197</v>
      </c>
      <c r="K61" t="s" s="1">
        <v>621</v>
      </c>
      <c r="L61" t="s" s="1">
        <v>393</v>
      </c>
      <c r="M61" t="n" s="5">
        <v>8368.0</v>
      </c>
      <c r="N61" t="n" s="7">
        <v>44666.0</v>
      </c>
      <c r="O61" t="n" s="7">
        <v>44926.0</v>
      </c>
      <c r="P61" t="s" s="1">
        <v>3259</v>
      </c>
    </row>
    <row r="62" spans="1:16">
      <c r="A62" t="n" s="4">
        <v>58</v>
      </c>
      <c r="B62" s="2">
        <f>HYPERLINK("https://my.zakupki.prom.ua/remote/dispatcher/state_purchase_view/36124347", "UA-2022-05-13-003419-a")</f>
        <v/>
      </c>
      <c r="C62" t="s" s="2">
        <v>2890</v>
      </c>
      <c r="D62" s="2">
        <f>HYPERLINK("https://my.zakupki.prom.ua/remote/dispatcher/state_contracting_view/13368563", "UA-2022-05-13-003419-a-a1")</f>
        <v/>
      </c>
      <c r="E62" t="s" s="1">
        <v>1634</v>
      </c>
      <c r="F62" t="s" s="1">
        <v>2685</v>
      </c>
      <c r="G62" t="s" s="1">
        <v>2685</v>
      </c>
      <c r="H62" t="s" s="1">
        <v>1030</v>
      </c>
      <c r="I62" t="s" s="1">
        <v>2017</v>
      </c>
      <c r="J62" t="s" s="1">
        <v>1880</v>
      </c>
      <c r="K62" t="s" s="1">
        <v>32</v>
      </c>
      <c r="L62" t="s" s="1">
        <v>1192</v>
      </c>
      <c r="M62" t="n" s="5">
        <v>1908.0</v>
      </c>
      <c r="N62" t="n" s="7">
        <v>44694.0</v>
      </c>
      <c r="O62" t="n" s="7">
        <v>44926.0</v>
      </c>
      <c r="P62" t="s" s="1">
        <v>3259</v>
      </c>
    </row>
    <row r="63" spans="1:16">
      <c r="A63" t="n" s="4">
        <v>59</v>
      </c>
      <c r="B63" s="2">
        <f>HYPERLINK("https://my.zakupki.prom.ua/remote/dispatcher/state_purchase_view/35983066", "UA-2022-04-22-000140-a")</f>
        <v/>
      </c>
      <c r="C63" t="s" s="2">
        <v>2890</v>
      </c>
      <c r="D63" s="2">
        <f>HYPERLINK("https://my.zakupki.prom.ua/remote/dispatcher/state_contracting_view/13298474", "UA-2022-04-22-000140-a-a1")</f>
        <v/>
      </c>
      <c r="E63" t="s" s="1">
        <v>568</v>
      </c>
      <c r="F63" t="s" s="1">
        <v>2265</v>
      </c>
      <c r="G63" t="s" s="1">
        <v>1943</v>
      </c>
      <c r="H63" t="s" s="1">
        <v>413</v>
      </c>
      <c r="I63" t="s" s="1">
        <v>2017</v>
      </c>
      <c r="J63" t="s" s="1">
        <v>2016</v>
      </c>
      <c r="K63" t="s" s="1">
        <v>474</v>
      </c>
      <c r="L63" t="s" s="1">
        <v>437</v>
      </c>
      <c r="M63" t="n" s="5">
        <v>42350.0</v>
      </c>
      <c r="N63" t="n" s="7">
        <v>44672.0</v>
      </c>
      <c r="O63" t="n" s="7">
        <v>44926.0</v>
      </c>
      <c r="P63" t="s" s="1">
        <v>3259</v>
      </c>
    </row>
    <row r="64" spans="1:16">
      <c r="A64" t="n" s="4">
        <v>60</v>
      </c>
      <c r="B64" s="2">
        <f>HYPERLINK("https://my.zakupki.prom.ua/remote/dispatcher/state_purchase_view/35983325", "UA-2022-04-22-000223-a")</f>
        <v/>
      </c>
      <c r="C64" t="s" s="2">
        <v>2890</v>
      </c>
      <c r="D64" s="2">
        <f>HYPERLINK("https://my.zakupki.prom.ua/remote/dispatcher/state_contracting_view/13298582", "UA-2022-04-22-000223-a-a1")</f>
        <v/>
      </c>
      <c r="E64" t="s" s="1">
        <v>1569</v>
      </c>
      <c r="F64" t="s" s="1">
        <v>2771</v>
      </c>
      <c r="G64" t="s" s="1">
        <v>2771</v>
      </c>
      <c r="H64" t="s" s="1">
        <v>1445</v>
      </c>
      <c r="I64" t="s" s="1">
        <v>2017</v>
      </c>
      <c r="J64" t="s" s="1">
        <v>1968</v>
      </c>
      <c r="K64" t="s" s="1">
        <v>756</v>
      </c>
      <c r="L64" t="s" s="1">
        <v>706</v>
      </c>
      <c r="M64" t="n" s="5">
        <v>900.0</v>
      </c>
      <c r="N64" t="n" s="7">
        <v>44672.0</v>
      </c>
      <c r="O64" t="n" s="7">
        <v>44926.0</v>
      </c>
      <c r="P64" t="s" s="1">
        <v>3259</v>
      </c>
    </row>
    <row r="65" spans="1:16">
      <c r="A65" t="n" s="4">
        <v>61</v>
      </c>
      <c r="B65" s="2">
        <f>HYPERLINK("https://my.zakupki.prom.ua/remote/dispatcher/state_purchase_view/33236849", "UA-2021-12-16-014651-c")</f>
        <v/>
      </c>
      <c r="C65" t="s" s="2">
        <v>2890</v>
      </c>
      <c r="D65" s="2">
        <f>HYPERLINK("https://my.zakupki.prom.ua/remote/dispatcher/state_contracting_view/12375015", "UA-2021-12-16-014651-c-c1")</f>
        <v/>
      </c>
      <c r="E65" t="s" s="1">
        <v>20</v>
      </c>
      <c r="F65" t="s" s="1">
        <v>2076</v>
      </c>
      <c r="G65" t="s" s="1">
        <v>2076</v>
      </c>
      <c r="H65" t="s" s="1">
        <v>943</v>
      </c>
      <c r="I65" t="s" s="1">
        <v>3022</v>
      </c>
      <c r="J65" t="s" s="1">
        <v>1874</v>
      </c>
      <c r="K65" t="s" s="1">
        <v>606</v>
      </c>
      <c r="L65" t="s" s="1">
        <v>1293</v>
      </c>
      <c r="M65" t="n" s="5">
        <v>185076.0</v>
      </c>
      <c r="N65" t="n" s="7">
        <v>44572.0</v>
      </c>
      <c r="O65" t="n" s="7">
        <v>44926.0</v>
      </c>
      <c r="P65" t="s" s="1">
        <v>3259</v>
      </c>
    </row>
    <row r="66" spans="1:16">
      <c r="A66" t="n" s="4">
        <v>62</v>
      </c>
      <c r="B66" s="2">
        <f>HYPERLINK("https://my.zakupki.prom.ua/remote/dispatcher/state_purchase_view/36371967", "UA-2022-06-14-003775-a")</f>
        <v/>
      </c>
      <c r="C66" t="s" s="2">
        <v>2890</v>
      </c>
      <c r="D66" s="2">
        <f>HYPERLINK("https://my.zakupki.prom.ua/remote/dispatcher/state_contracting_view/13497679", "UA-2022-06-14-003775-a-b1")</f>
        <v/>
      </c>
      <c r="E66" t="s" s="1">
        <v>1777</v>
      </c>
      <c r="F66" t="s" s="1">
        <v>2806</v>
      </c>
      <c r="G66" t="s" s="1">
        <v>2969</v>
      </c>
      <c r="H66" t="s" s="1">
        <v>650</v>
      </c>
      <c r="I66" t="s" s="1">
        <v>2017</v>
      </c>
      <c r="J66" t="s" s="1">
        <v>3113</v>
      </c>
      <c r="K66" t="s" s="1">
        <v>398</v>
      </c>
      <c r="L66" t="s" s="1">
        <v>632</v>
      </c>
      <c r="M66" t="n" s="5">
        <v>2015.3</v>
      </c>
      <c r="N66" t="n" s="7">
        <v>44726.0</v>
      </c>
      <c r="O66" t="n" s="7">
        <v>44926.0</v>
      </c>
      <c r="P66" t="s" s="1">
        <v>3259</v>
      </c>
    </row>
    <row r="67" spans="1:16">
      <c r="A67" t="n" s="4">
        <v>63</v>
      </c>
      <c r="B67" s="2">
        <f>HYPERLINK("https://my.zakupki.prom.ua/remote/dispatcher/state_purchase_view/36387160", "UA-2022-06-15-005036-a")</f>
        <v/>
      </c>
      <c r="C67" t="s" s="2">
        <v>2890</v>
      </c>
      <c r="D67" s="2">
        <f>HYPERLINK("https://my.zakupki.prom.ua/remote/dispatcher/state_contracting_view/13505851", "UA-2022-06-15-005036-a-b1")</f>
        <v/>
      </c>
      <c r="E67" t="s" s="1">
        <v>63</v>
      </c>
      <c r="F67" t="s" s="1">
        <v>2329</v>
      </c>
      <c r="G67" t="s" s="1">
        <v>2329</v>
      </c>
      <c r="H67" t="s" s="1">
        <v>637</v>
      </c>
      <c r="I67" t="s" s="1">
        <v>2017</v>
      </c>
      <c r="J67" t="s" s="1">
        <v>2861</v>
      </c>
      <c r="K67" t="s" s="1">
        <v>722</v>
      </c>
      <c r="L67" t="s" s="1">
        <v>643</v>
      </c>
      <c r="M67" t="n" s="5">
        <v>147800.0</v>
      </c>
      <c r="N67" t="n" s="7">
        <v>44727.0</v>
      </c>
      <c r="O67" t="n" s="7">
        <v>44926.0</v>
      </c>
      <c r="P67" t="s" s="1">
        <v>3259</v>
      </c>
    </row>
    <row r="68" spans="1:16">
      <c r="A68" t="n" s="4">
        <v>64</v>
      </c>
      <c r="B68" s="2">
        <f>HYPERLINK("https://my.zakupki.prom.ua/remote/dispatcher/state_purchase_view/35623272", "UA-2022-03-11-001387-a")</f>
        <v/>
      </c>
      <c r="C68" t="s" s="2">
        <v>2890</v>
      </c>
      <c r="D68" s="2">
        <f>HYPERLINK("https://my.zakupki.prom.ua/remote/dispatcher/state_contracting_view/13109437", "UA-2022-03-11-001387-a-a1")</f>
        <v/>
      </c>
      <c r="E68" t="s" s="1">
        <v>1585</v>
      </c>
      <c r="F68" t="s" s="1">
        <v>2262</v>
      </c>
      <c r="G68" t="s" s="1">
        <v>3019</v>
      </c>
      <c r="H68" t="s" s="1">
        <v>411</v>
      </c>
      <c r="I68" t="s" s="1">
        <v>2017</v>
      </c>
      <c r="J68" t="s" s="1">
        <v>3113</v>
      </c>
      <c r="K68" t="s" s="1">
        <v>398</v>
      </c>
      <c r="L68" t="s" s="1">
        <v>174</v>
      </c>
      <c r="M68" t="n" s="5">
        <v>4679.0</v>
      </c>
      <c r="N68" t="n" s="7">
        <v>44631.0</v>
      </c>
      <c r="O68" t="n" s="7">
        <v>44926.0</v>
      </c>
      <c r="P68" t="s" s="1">
        <v>3259</v>
      </c>
    </row>
    <row r="69" spans="1:16">
      <c r="A69" t="n" s="4">
        <v>65</v>
      </c>
      <c r="B69" s="2">
        <f>HYPERLINK("https://my.zakupki.prom.ua/remote/dispatcher/state_purchase_view/35623514", "UA-2022-03-11-001479-a")</f>
        <v/>
      </c>
      <c r="C69" t="s" s="2">
        <v>2890</v>
      </c>
      <c r="D69" s="2">
        <f>HYPERLINK("https://my.zakupki.prom.ua/remote/dispatcher/state_contracting_view/13110122", "UA-2022-03-11-001479-a-a1")</f>
        <v/>
      </c>
      <c r="E69" t="s" s="1">
        <v>948</v>
      </c>
      <c r="F69" t="s" s="1">
        <v>2430</v>
      </c>
      <c r="G69" t="s" s="1">
        <v>3206</v>
      </c>
      <c r="H69" t="s" s="1">
        <v>650</v>
      </c>
      <c r="I69" t="s" s="1">
        <v>2017</v>
      </c>
      <c r="J69" t="s" s="1">
        <v>3113</v>
      </c>
      <c r="K69" t="s" s="1">
        <v>398</v>
      </c>
      <c r="L69" t="s" s="1">
        <v>175</v>
      </c>
      <c r="M69" t="n" s="5">
        <v>86682.5</v>
      </c>
      <c r="N69" t="n" s="7">
        <v>44630.0</v>
      </c>
      <c r="O69" t="n" s="7">
        <v>44926.0</v>
      </c>
      <c r="P69" t="s" s="1">
        <v>3259</v>
      </c>
    </row>
    <row r="70" spans="1:16">
      <c r="A70" t="n" s="4">
        <v>66</v>
      </c>
      <c r="B70" s="2">
        <f>HYPERLINK("https://my.zakupki.prom.ua/remote/dispatcher/state_purchase_view/35802953", "UA-2022-03-31-002485-b")</f>
        <v/>
      </c>
      <c r="C70" t="s" s="2">
        <v>2890</v>
      </c>
      <c r="D70" s="2">
        <f>HYPERLINK("https://my.zakupki.prom.ua/remote/dispatcher/state_contracting_view/13205153", "UA-2022-03-31-002485-b-b1")</f>
        <v/>
      </c>
      <c r="E70" t="s" s="1">
        <v>1659</v>
      </c>
      <c r="F70" t="s" s="1">
        <v>2112</v>
      </c>
      <c r="G70" t="s" s="1">
        <v>2112</v>
      </c>
      <c r="H70" t="s" s="1">
        <v>774</v>
      </c>
      <c r="I70" t="s" s="1">
        <v>2017</v>
      </c>
      <c r="J70" t="s" s="1">
        <v>3237</v>
      </c>
      <c r="K70" t="s" s="1">
        <v>687</v>
      </c>
      <c r="L70" t="s" s="1">
        <v>304</v>
      </c>
      <c r="M70" t="n" s="5">
        <v>2913.0</v>
      </c>
      <c r="N70" t="n" s="7">
        <v>44651.0</v>
      </c>
      <c r="O70" t="n" s="7">
        <v>44926.0</v>
      </c>
      <c r="P70" t="s" s="1">
        <v>3259</v>
      </c>
    </row>
    <row r="71" spans="1:16">
      <c r="A71" t="n" s="4">
        <v>67</v>
      </c>
      <c r="B71" s="2">
        <f>HYPERLINK("https://my.zakupki.prom.ua/remote/dispatcher/state_purchase_view/35711750", "UA-2022-03-22-000525-a")</f>
        <v/>
      </c>
      <c r="C71" t="s" s="2">
        <v>2890</v>
      </c>
      <c r="D71" s="2">
        <f>HYPERLINK("https://my.zakupki.prom.ua/remote/dispatcher/state_contracting_view/13156979", "UA-2022-03-22-000525-a-a1")</f>
        <v/>
      </c>
      <c r="E71" t="s" s="1">
        <v>1287</v>
      </c>
      <c r="F71" t="s" s="1">
        <v>2642</v>
      </c>
      <c r="G71" t="s" s="1">
        <v>2642</v>
      </c>
      <c r="H71" t="s" s="1">
        <v>940</v>
      </c>
      <c r="I71" t="s" s="1">
        <v>2017</v>
      </c>
      <c r="J71" t="s" s="1">
        <v>3111</v>
      </c>
      <c r="K71" t="s" s="1">
        <v>856</v>
      </c>
      <c r="L71" t="s" s="1">
        <v>246</v>
      </c>
      <c r="M71" t="n" s="5">
        <v>34702.0</v>
      </c>
      <c r="N71" t="n" s="7">
        <v>44641.0</v>
      </c>
      <c r="O71" t="n" s="7">
        <v>44926.0</v>
      </c>
      <c r="P71" t="s" s="1">
        <v>3259</v>
      </c>
    </row>
    <row r="72" spans="1:16">
      <c r="A72" t="n" s="4">
        <v>68</v>
      </c>
      <c r="B72" s="2">
        <f>HYPERLINK("https://my.zakupki.prom.ua/remote/dispatcher/state_purchase_view/35599048", "UA-2022-03-09-001761-a")</f>
        <v/>
      </c>
      <c r="C72" t="s" s="2">
        <v>2890</v>
      </c>
      <c r="D72" s="2">
        <f>HYPERLINK("https://my.zakupki.prom.ua/remote/dispatcher/state_contracting_view/13095961", "UA-2022-03-09-001761-a-a1")</f>
        <v/>
      </c>
      <c r="E72" t="s" s="1">
        <v>1728</v>
      </c>
      <c r="F72" t="s" s="1">
        <v>2746</v>
      </c>
      <c r="G72" t="s" s="1">
        <v>2746</v>
      </c>
      <c r="H72" t="s" s="1">
        <v>1420</v>
      </c>
      <c r="I72" t="s" s="1">
        <v>2017</v>
      </c>
      <c r="J72" t="s" s="1">
        <v>1969</v>
      </c>
      <c r="K72" t="s" s="1">
        <v>317</v>
      </c>
      <c r="L72" t="s" s="1">
        <v>843</v>
      </c>
      <c r="M72" t="n" s="5">
        <v>2128.68</v>
      </c>
      <c r="N72" t="n" s="7">
        <v>44629.0</v>
      </c>
      <c r="O72" t="n" s="7">
        <v>44926.0</v>
      </c>
      <c r="P72" t="s" s="1">
        <v>3259</v>
      </c>
    </row>
    <row r="73" spans="1:16">
      <c r="A73" t="n" s="4">
        <v>69</v>
      </c>
      <c r="B73" s="2">
        <f>HYPERLINK("https://my.zakupki.prom.ua/remote/dispatcher/state_purchase_view/34911604", "UA-2022-02-07-013343-b")</f>
        <v/>
      </c>
      <c r="C73" t="s" s="2">
        <v>2890</v>
      </c>
      <c r="D73" s="2">
        <f>HYPERLINK("https://my.zakupki.prom.ua/remote/dispatcher/state_contracting_view/12776704", "UA-2022-02-07-013343-b-b1")</f>
        <v/>
      </c>
      <c r="E73" t="s" s="1">
        <v>1684</v>
      </c>
      <c r="F73" t="s" s="1">
        <v>2697</v>
      </c>
      <c r="G73" t="s" s="1">
        <v>2697</v>
      </c>
      <c r="H73" t="s" s="1">
        <v>1223</v>
      </c>
      <c r="I73" t="s" s="1">
        <v>2017</v>
      </c>
      <c r="J73" t="s" s="1">
        <v>2912</v>
      </c>
      <c r="K73" t="s" s="1">
        <v>4</v>
      </c>
      <c r="L73" t="s" s="1">
        <v>1257</v>
      </c>
      <c r="M73" t="n" s="5">
        <v>5361.69</v>
      </c>
      <c r="N73" t="n" s="7">
        <v>44599.0</v>
      </c>
      <c r="O73" t="n" s="7">
        <v>44926.0</v>
      </c>
      <c r="P73" t="s" s="1">
        <v>3259</v>
      </c>
    </row>
    <row r="74" spans="1:16">
      <c r="A74" t="n" s="4">
        <v>70</v>
      </c>
      <c r="B74" s="2">
        <f>HYPERLINK("https://my.zakupki.prom.ua/remote/dispatcher/state_purchase_view/34974290", "UA-2022-02-09-000776-b")</f>
        <v/>
      </c>
      <c r="C74" t="s" s="2">
        <v>2890</v>
      </c>
      <c r="D74" s="2">
        <f>HYPERLINK("https://my.zakupki.prom.ua/remote/dispatcher/state_contracting_view/12798235", "UA-2022-02-09-000776-b-b1")</f>
        <v/>
      </c>
      <c r="E74" t="s" s="1">
        <v>1852</v>
      </c>
      <c r="F74" t="s" s="1">
        <v>2515</v>
      </c>
      <c r="G74" t="s" s="1">
        <v>3250</v>
      </c>
      <c r="H74" t="s" s="1">
        <v>753</v>
      </c>
      <c r="I74" t="s" s="1">
        <v>2017</v>
      </c>
      <c r="J74" t="s" s="1">
        <v>2903</v>
      </c>
      <c r="K74" t="s" s="1">
        <v>391</v>
      </c>
      <c r="L74" t="s" s="1">
        <v>1387</v>
      </c>
      <c r="M74" t="n" s="5">
        <v>16550.0</v>
      </c>
      <c r="N74" t="n" s="7">
        <v>44601.0</v>
      </c>
      <c r="O74" t="n" s="7">
        <v>44926.0</v>
      </c>
      <c r="P74" t="s" s="1">
        <v>3259</v>
      </c>
    </row>
    <row r="75" spans="1:16">
      <c r="A75" t="n" s="4">
        <v>71</v>
      </c>
      <c r="B75" s="2">
        <f>HYPERLINK("https://my.zakupki.prom.ua/remote/dispatcher/state_purchase_view/35051538", "UA-2022-02-10-008683-b")</f>
        <v/>
      </c>
      <c r="C75" t="s" s="2">
        <v>2890</v>
      </c>
      <c r="D75" s="2">
        <f>HYPERLINK("https://my.zakupki.prom.ua/remote/dispatcher/state_contracting_view/12840801", "UA-2022-02-10-008683-b-b1")</f>
        <v/>
      </c>
      <c r="E75" t="s" s="1">
        <v>1148</v>
      </c>
      <c r="F75" t="s" s="1">
        <v>2511</v>
      </c>
      <c r="G75" t="s" s="1">
        <v>2511</v>
      </c>
      <c r="H75" t="s" s="1">
        <v>736</v>
      </c>
      <c r="I75" t="s" s="1">
        <v>2017</v>
      </c>
      <c r="J75" t="s" s="1">
        <v>1965</v>
      </c>
      <c r="K75" t="s" s="1">
        <v>553</v>
      </c>
      <c r="L75" t="s" s="1">
        <v>1425</v>
      </c>
      <c r="M75" t="n" s="5">
        <v>273.0</v>
      </c>
      <c r="N75" t="n" s="7">
        <v>44602.0</v>
      </c>
      <c r="O75" t="n" s="7">
        <v>44926.0</v>
      </c>
      <c r="P75" t="s" s="1">
        <v>3259</v>
      </c>
    </row>
    <row r="76" spans="1:16">
      <c r="A76" t="n" s="4">
        <v>72</v>
      </c>
      <c r="B76" s="2">
        <f>HYPERLINK("https://my.zakupki.prom.ua/remote/dispatcher/state_purchase_view/35556082", "UA-2022-03-02-002794-a")</f>
        <v/>
      </c>
      <c r="C76" t="s" s="2">
        <v>2890</v>
      </c>
      <c r="D76" s="2">
        <f>HYPERLINK("https://my.zakupki.prom.ua/remote/dispatcher/state_contracting_view/13073427", "UA-2022-03-02-002794-a-a1")</f>
        <v/>
      </c>
      <c r="E76" t="s" s="1">
        <v>1480</v>
      </c>
      <c r="F76" t="s" s="1">
        <v>2347</v>
      </c>
      <c r="G76" t="s" s="1">
        <v>3251</v>
      </c>
      <c r="H76" t="s" s="1">
        <v>638</v>
      </c>
      <c r="I76" t="s" s="1">
        <v>2017</v>
      </c>
      <c r="J76" t="s" s="1">
        <v>3125</v>
      </c>
      <c r="K76" t="s" s="1">
        <v>690</v>
      </c>
      <c r="L76" t="s" s="1">
        <v>138</v>
      </c>
      <c r="M76" t="n" s="5">
        <v>2504.0</v>
      </c>
      <c r="N76" t="n" s="7">
        <v>44622.0</v>
      </c>
      <c r="O76" t="n" s="7">
        <v>44926.0</v>
      </c>
      <c r="P76" t="s" s="1">
        <v>3259</v>
      </c>
    </row>
    <row r="77" spans="1:16">
      <c r="A77" t="n" s="4">
        <v>73</v>
      </c>
      <c r="B77" s="2">
        <f>HYPERLINK("https://my.zakupki.prom.ua/remote/dispatcher/state_purchase_view/35556245", "UA-2022-03-02-002848-a")</f>
        <v/>
      </c>
      <c r="C77" t="s" s="2">
        <v>2890</v>
      </c>
      <c r="D77" s="2">
        <f>HYPERLINK("https://my.zakupki.prom.ua/remote/dispatcher/state_contracting_view/13073416", "UA-2022-03-02-002848-a-a1")</f>
        <v/>
      </c>
      <c r="E77" t="s" s="1">
        <v>1819</v>
      </c>
      <c r="F77" t="s" s="1">
        <v>2504</v>
      </c>
      <c r="G77" t="s" s="1">
        <v>2504</v>
      </c>
      <c r="H77" t="s" s="1">
        <v>663</v>
      </c>
      <c r="I77" t="s" s="1">
        <v>2017</v>
      </c>
      <c r="J77" t="s" s="1">
        <v>3125</v>
      </c>
      <c r="K77" t="s" s="1">
        <v>690</v>
      </c>
      <c r="L77" t="s" s="1">
        <v>139</v>
      </c>
      <c r="M77" t="n" s="5">
        <v>7500.0</v>
      </c>
      <c r="N77" t="n" s="7">
        <v>44622.0</v>
      </c>
      <c r="O77" t="n" s="7">
        <v>44926.0</v>
      </c>
      <c r="P77" t="s" s="1">
        <v>3259</v>
      </c>
    </row>
    <row r="78" spans="1:16">
      <c r="A78" t="n" s="4">
        <v>74</v>
      </c>
      <c r="B78" s="2">
        <f>HYPERLINK("https://my.zakupki.prom.ua/remote/dispatcher/state_purchase_view/34566761", "UA-2022-01-28-000643-b")</f>
        <v/>
      </c>
      <c r="C78" t="s" s="2">
        <v>2890</v>
      </c>
      <c r="D78" s="2">
        <f>HYPERLINK("https://my.zakupki.prom.ua/remote/dispatcher/state_contracting_view/12603729", "UA-2022-01-28-000643-b-b1")</f>
        <v/>
      </c>
      <c r="E78" t="s" s="1">
        <v>279</v>
      </c>
      <c r="F78" t="s" s="1">
        <v>2603</v>
      </c>
      <c r="G78" t="s" s="1">
        <v>2973</v>
      </c>
      <c r="H78" t="s" s="1">
        <v>919</v>
      </c>
      <c r="I78" t="s" s="1">
        <v>2017</v>
      </c>
      <c r="J78" t="s" s="1">
        <v>2914</v>
      </c>
      <c r="K78" t="s" s="1">
        <v>628</v>
      </c>
      <c r="L78" t="s" s="1">
        <v>816</v>
      </c>
      <c r="M78" t="n" s="5">
        <v>6895.2</v>
      </c>
      <c r="N78" t="n" s="7">
        <v>44587.0</v>
      </c>
      <c r="O78" t="n" s="7">
        <v>44926.0</v>
      </c>
      <c r="P78" t="s" s="1">
        <v>3259</v>
      </c>
    </row>
    <row r="79" spans="1:16">
      <c r="A79" t="n" s="4">
        <v>75</v>
      </c>
      <c r="B79" s="2">
        <f>HYPERLINK("https://my.zakupki.prom.ua/remote/dispatcher/state_purchase_view/34407613", "UA-2022-01-25-005923-b")</f>
        <v/>
      </c>
      <c r="C79" t="s" s="2">
        <v>2890</v>
      </c>
      <c r="D79" s="2">
        <f>HYPERLINK("https://my.zakupki.prom.ua/remote/dispatcher/state_contracting_view/12529892", "UA-2022-01-25-005923-b-b1")</f>
        <v/>
      </c>
      <c r="E79" t="s" s="1">
        <v>360</v>
      </c>
      <c r="F79" t="s" s="1">
        <v>2765</v>
      </c>
      <c r="G79" t="s" s="1">
        <v>2765</v>
      </c>
      <c r="H79" t="s" s="1">
        <v>1445</v>
      </c>
      <c r="I79" t="s" s="1">
        <v>2017</v>
      </c>
      <c r="J79" t="s" s="1">
        <v>3088</v>
      </c>
      <c r="K79" t="s" s="1">
        <v>773</v>
      </c>
      <c r="L79" t="s" s="1">
        <v>601</v>
      </c>
      <c r="M79" t="n" s="5">
        <v>170000.0</v>
      </c>
      <c r="N79" t="n" s="7">
        <v>44586.0</v>
      </c>
      <c r="O79" t="n" s="7">
        <v>44926.0</v>
      </c>
      <c r="P79" t="s" s="1">
        <v>3259</v>
      </c>
    </row>
    <row r="80" spans="1:16">
      <c r="A80" t="n" s="4">
        <v>76</v>
      </c>
      <c r="B80" s="2">
        <f>HYPERLINK("https://my.zakupki.prom.ua/remote/dispatcher/state_purchase_view/34374394", "UA-2022-01-24-013386-b")</f>
        <v/>
      </c>
      <c r="C80" t="s" s="2">
        <v>2890</v>
      </c>
      <c r="D80" s="2">
        <f>HYPERLINK("https://my.zakupki.prom.ua/remote/dispatcher/state_contracting_view/12514743", "UA-2022-01-24-013386-b-b1")</f>
        <v/>
      </c>
      <c r="E80" t="s" s="1">
        <v>1150</v>
      </c>
      <c r="F80" t="s" s="1">
        <v>2787</v>
      </c>
      <c r="G80" t="s" s="1">
        <v>2787</v>
      </c>
      <c r="H80" t="s" s="1">
        <v>1525</v>
      </c>
      <c r="I80" t="s" s="1">
        <v>2017</v>
      </c>
      <c r="J80" t="s" s="1">
        <v>3075</v>
      </c>
      <c r="K80" t="s" s="1">
        <v>575</v>
      </c>
      <c r="L80" t="s" s="1">
        <v>96</v>
      </c>
      <c r="M80" t="n" s="5">
        <v>10656.0</v>
      </c>
      <c r="N80" t="n" s="7">
        <v>44585.0</v>
      </c>
      <c r="O80" t="n" s="7">
        <v>44926.0</v>
      </c>
      <c r="P80" t="s" s="1">
        <v>3259</v>
      </c>
    </row>
    <row r="81" spans="1:16">
      <c r="A81" t="n" s="4">
        <v>77</v>
      </c>
      <c r="B81" s="2">
        <f>HYPERLINK("https://my.zakupki.prom.ua/remote/dispatcher/state_purchase_view/34531511", "UA-2022-01-27-007358-b")</f>
        <v/>
      </c>
      <c r="C81" t="s" s="2">
        <v>2890</v>
      </c>
      <c r="D81" s="2">
        <f>HYPERLINK("https://my.zakupki.prom.ua/remote/dispatcher/state_contracting_view/12604267", "UA-2022-01-27-007358-b-b1")</f>
        <v/>
      </c>
      <c r="E81" t="s" s="1">
        <v>89</v>
      </c>
      <c r="F81" t="s" s="1">
        <v>2487</v>
      </c>
      <c r="G81" t="s" s="1">
        <v>3262</v>
      </c>
      <c r="H81" t="s" s="1">
        <v>651</v>
      </c>
      <c r="I81" t="s" s="1">
        <v>2017</v>
      </c>
      <c r="J81" t="s" s="1">
        <v>3142</v>
      </c>
      <c r="K81" t="s" s="1">
        <v>851</v>
      </c>
      <c r="L81" t="s" s="1">
        <v>2829</v>
      </c>
      <c r="M81" t="n" s="5">
        <v>11448.0</v>
      </c>
      <c r="N81" t="n" s="7">
        <v>44588.0</v>
      </c>
      <c r="O81" t="n" s="7">
        <v>44926.0</v>
      </c>
      <c r="P81" t="s" s="1">
        <v>3259</v>
      </c>
    </row>
    <row r="82" spans="1:16">
      <c r="A82" t="n" s="4">
        <v>78</v>
      </c>
      <c r="B82" s="2">
        <f>HYPERLINK("https://my.zakupki.prom.ua/remote/dispatcher/state_purchase_view/34894355", "UA-2022-02-07-007387-b")</f>
        <v/>
      </c>
      <c r="C82" t="s" s="2">
        <v>2890</v>
      </c>
      <c r="D82" s="2">
        <f>HYPERLINK("https://my.zakupki.prom.ua/remote/dispatcher/state_contracting_view/12951728", "UA-2022-02-07-007387-b-b1")</f>
        <v/>
      </c>
      <c r="E82" t="s" s="1">
        <v>1352</v>
      </c>
      <c r="F82" t="s" s="1">
        <v>2696</v>
      </c>
      <c r="G82" t="s" s="1">
        <v>2696</v>
      </c>
      <c r="H82" t="s" s="1">
        <v>1223</v>
      </c>
      <c r="I82" t="s" s="1">
        <v>2933</v>
      </c>
      <c r="J82" t="s" s="1">
        <v>2911</v>
      </c>
      <c r="K82" t="s" s="1">
        <v>4</v>
      </c>
      <c r="L82" t="s" s="1">
        <v>113</v>
      </c>
      <c r="M82" t="n" s="5">
        <v>379854.79</v>
      </c>
      <c r="N82" t="n" s="7">
        <v>44610.0</v>
      </c>
      <c r="O82" t="n" s="7">
        <v>44926.0</v>
      </c>
      <c r="P82" t="s" s="1">
        <v>3259</v>
      </c>
    </row>
    <row r="83" spans="1:16">
      <c r="A83" t="n" s="4">
        <v>79</v>
      </c>
      <c r="B83" s="2">
        <f>HYPERLINK("https://my.zakupki.prom.ua/remote/dispatcher/state_purchase_view/37953232", "UA-2022-10-13-002323-a")</f>
        <v/>
      </c>
      <c r="C83" t="s" s="2">
        <v>2890</v>
      </c>
      <c r="D83" s="2">
        <f>HYPERLINK("https://my.zakupki.prom.ua/remote/dispatcher/state_contracting_view/14263867", "UA-2022-10-13-002323-a-b1")</f>
        <v/>
      </c>
      <c r="E83" t="s" s="1">
        <v>807</v>
      </c>
      <c r="F83" t="s" s="1">
        <v>2356</v>
      </c>
      <c r="G83" t="s" s="1">
        <v>2058</v>
      </c>
      <c r="H83" t="s" s="1">
        <v>638</v>
      </c>
      <c r="I83" t="s" s="1">
        <v>2017</v>
      </c>
      <c r="J83" t="s" s="1">
        <v>3125</v>
      </c>
      <c r="K83" t="s" s="1">
        <v>690</v>
      </c>
      <c r="L83" t="s" s="1">
        <v>1120</v>
      </c>
      <c r="M83" t="n" s="5">
        <v>1835.18</v>
      </c>
      <c r="N83" t="n" s="7">
        <v>44847.0</v>
      </c>
      <c r="O83" t="n" s="7">
        <v>44926.0</v>
      </c>
      <c r="P83" t="s" s="1">
        <v>3259</v>
      </c>
    </row>
    <row r="84" spans="1:16">
      <c r="A84" t="n" s="4">
        <v>80</v>
      </c>
      <c r="B84" s="2">
        <f>HYPERLINK("https://my.zakupki.prom.ua/remote/dispatcher/state_purchase_view/39701189", "UA-2022-12-23-017208-a")</f>
        <v/>
      </c>
      <c r="C84" t="s" s="2">
        <v>2890</v>
      </c>
      <c r="D84" s="2">
        <f>HYPERLINK("https://my.zakupki.prom.ua/remote/dispatcher/state_contracting_view/15091361", "UA-2022-12-23-017208-a-c1")</f>
        <v/>
      </c>
      <c r="E84" t="s" s="1">
        <v>1805</v>
      </c>
      <c r="F84" t="s" s="1">
        <v>2550</v>
      </c>
      <c r="G84" t="s" s="1">
        <v>1930</v>
      </c>
      <c r="H84" t="s" s="1">
        <v>836</v>
      </c>
      <c r="I84" t="s" s="1">
        <v>2017</v>
      </c>
      <c r="J84" t="s" s="1">
        <v>3237</v>
      </c>
      <c r="K84" t="s" s="1">
        <v>687</v>
      </c>
      <c r="L84" t="s" s="1">
        <v>1346</v>
      </c>
      <c r="M84" t="n" s="5">
        <v>900.0</v>
      </c>
      <c r="N84" t="n" s="7">
        <v>44918.0</v>
      </c>
      <c r="O84" t="n" s="7">
        <v>44926.0</v>
      </c>
      <c r="P84" t="s" s="1">
        <v>3259</v>
      </c>
    </row>
    <row r="85" spans="1:16">
      <c r="A85" t="n" s="4">
        <v>81</v>
      </c>
      <c r="B85" s="2">
        <f>HYPERLINK("https://my.zakupki.prom.ua/remote/dispatcher/state_purchase_view/39787119", "UA-2022-12-27-010696-a")</f>
        <v/>
      </c>
      <c r="C85" t="s" s="2">
        <v>2890</v>
      </c>
      <c r="D85" s="2">
        <f>HYPERLINK("https://my.zakupki.prom.ua/remote/dispatcher/state_contracting_view/15132935", "UA-2022-12-27-010696-a-a1")</f>
        <v/>
      </c>
      <c r="E85" t="s" s="1">
        <v>1138</v>
      </c>
      <c r="F85" t="s" s="1">
        <v>2617</v>
      </c>
      <c r="G85" t="s" s="1">
        <v>1988</v>
      </c>
      <c r="H85" t="s" s="1">
        <v>922</v>
      </c>
      <c r="I85" t="s" s="1">
        <v>2017</v>
      </c>
      <c r="J85" t="s" s="1">
        <v>2904</v>
      </c>
      <c r="K85" t="s" s="1">
        <v>688</v>
      </c>
      <c r="L85" t="s" s="1">
        <v>1378</v>
      </c>
      <c r="M85" t="n" s="5">
        <v>1178.1</v>
      </c>
      <c r="N85" t="n" s="7">
        <v>44922.0</v>
      </c>
      <c r="O85" t="n" s="7">
        <v>44926.0</v>
      </c>
      <c r="P85" t="s" s="1">
        <v>3259</v>
      </c>
    </row>
    <row r="86" spans="1:16">
      <c r="A86" t="n" s="4">
        <v>82</v>
      </c>
      <c r="B86" s="2">
        <f>HYPERLINK("https://my.zakupki.prom.ua/remote/dispatcher/state_purchase_view/36749306", "UA-2022-07-20-007081-a")</f>
        <v/>
      </c>
      <c r="C86" t="s" s="2">
        <v>2890</v>
      </c>
      <c r="D86" s="2">
        <f>HYPERLINK("https://my.zakupki.prom.ua/remote/dispatcher/state_contracting_view/13681164", "UA-2022-07-20-007081-a-b1")</f>
        <v/>
      </c>
      <c r="E86" t="s" s="1">
        <v>1771</v>
      </c>
      <c r="F86" t="s" s="1">
        <v>2552</v>
      </c>
      <c r="G86" t="s" s="1">
        <v>1544</v>
      </c>
      <c r="H86" t="s" s="1">
        <v>859</v>
      </c>
      <c r="I86" t="s" s="1">
        <v>2017</v>
      </c>
      <c r="J86" t="s" s="1">
        <v>2904</v>
      </c>
      <c r="K86" t="s" s="1">
        <v>688</v>
      </c>
      <c r="L86" t="s" s="1">
        <v>862</v>
      </c>
      <c r="M86" t="n" s="5">
        <v>2286.0</v>
      </c>
      <c r="N86" t="n" s="7">
        <v>44762.0</v>
      </c>
      <c r="O86" t="n" s="7">
        <v>44926.0</v>
      </c>
      <c r="P86" t="s" s="1">
        <v>3259</v>
      </c>
    </row>
    <row r="87" spans="1:16">
      <c r="A87" t="n" s="4">
        <v>83</v>
      </c>
      <c r="B87" s="2">
        <f>HYPERLINK("https://my.zakupki.prom.ua/remote/dispatcher/state_purchase_view/36754128", "UA-2022-07-21-000994-a")</f>
        <v/>
      </c>
      <c r="C87" t="s" s="2">
        <v>2890</v>
      </c>
      <c r="D87" s="2">
        <f>HYPERLINK("https://my.zakupki.prom.ua/remote/dispatcher/state_contracting_view/13683490", "UA-2022-07-21-000994-a-b1")</f>
        <v/>
      </c>
      <c r="E87" t="s" s="1">
        <v>831</v>
      </c>
      <c r="F87" t="s" s="1">
        <v>2287</v>
      </c>
      <c r="G87" t="s" s="1">
        <v>2974</v>
      </c>
      <c r="H87" t="s" s="1">
        <v>574</v>
      </c>
      <c r="I87" t="s" s="1">
        <v>2017</v>
      </c>
      <c r="J87" t="s" s="1">
        <v>2904</v>
      </c>
      <c r="K87" t="s" s="1">
        <v>688</v>
      </c>
      <c r="L87" t="s" s="1">
        <v>884</v>
      </c>
      <c r="M87" t="n" s="5">
        <v>872.62</v>
      </c>
      <c r="N87" t="n" s="7">
        <v>44762.0</v>
      </c>
      <c r="O87" t="n" s="7">
        <v>44926.0</v>
      </c>
      <c r="P87" t="s" s="1">
        <v>3259</v>
      </c>
    </row>
    <row r="88" spans="1:16">
      <c r="A88" t="n" s="4">
        <v>84</v>
      </c>
      <c r="B88" s="2">
        <f>HYPERLINK("https://my.zakupki.prom.ua/remote/dispatcher/state_purchase_view/38647996", "UA-2022-11-18-001467-a")</f>
        <v/>
      </c>
      <c r="C88" t="s" s="2">
        <v>2890</v>
      </c>
      <c r="D88" s="2">
        <f>HYPERLINK("https://my.zakupki.prom.ua/remote/dispatcher/state_contracting_view/14599201", "UA-2022-11-18-001467-a-b1")</f>
        <v/>
      </c>
      <c r="E88" t="s" s="1">
        <v>83</v>
      </c>
      <c r="F88" t="s" s="1">
        <v>2250</v>
      </c>
      <c r="G88" t="s" s="1">
        <v>2250</v>
      </c>
      <c r="H88" t="s" s="1">
        <v>378</v>
      </c>
      <c r="I88" t="s" s="1">
        <v>2017</v>
      </c>
      <c r="J88" t="s" s="1">
        <v>1951</v>
      </c>
      <c r="K88" t="s" s="1">
        <v>560</v>
      </c>
      <c r="L88" t="s" s="1">
        <v>1232</v>
      </c>
      <c r="M88" t="n" s="5">
        <v>905.0</v>
      </c>
      <c r="N88" t="n" s="7">
        <v>44882.0</v>
      </c>
      <c r="O88" t="n" s="7">
        <v>44926.0</v>
      </c>
      <c r="P88" t="s" s="1">
        <v>3259</v>
      </c>
    </row>
    <row r="89" spans="1:16">
      <c r="A89" t="n" s="4">
        <v>85</v>
      </c>
      <c r="B89" s="2">
        <f>HYPERLINK("https://my.zakupki.prom.ua/remote/dispatcher/state_purchase_view/38497009", "UA-2022-11-11-001151-a")</f>
        <v/>
      </c>
      <c r="C89" t="s" s="2">
        <v>2890</v>
      </c>
      <c r="D89" s="2">
        <f>HYPERLINK("https://my.zakupki.prom.ua/remote/dispatcher/state_contracting_view/14529246", "UA-2022-11-11-001151-a-a1")</f>
        <v/>
      </c>
      <c r="E89" t="s" s="1">
        <v>1489</v>
      </c>
      <c r="F89" t="s" s="1">
        <v>2776</v>
      </c>
      <c r="G89" t="s" s="1">
        <v>2869</v>
      </c>
      <c r="H89" t="s" s="1">
        <v>1445</v>
      </c>
      <c r="I89" t="s" s="1">
        <v>2017</v>
      </c>
      <c r="J89" t="s" s="1">
        <v>2038</v>
      </c>
      <c r="K89" t="s" s="1">
        <v>17</v>
      </c>
      <c r="L89" t="s" s="1">
        <v>173</v>
      </c>
      <c r="M89" t="n" s="5">
        <v>1775.0</v>
      </c>
      <c r="N89" t="n" s="7">
        <v>44874.0</v>
      </c>
      <c r="O89" t="n" s="7">
        <v>44926.0</v>
      </c>
      <c r="P89" t="s" s="1">
        <v>3259</v>
      </c>
    </row>
    <row r="90" spans="1:16">
      <c r="A90" t="n" s="4">
        <v>86</v>
      </c>
      <c r="B90" s="2">
        <f>HYPERLINK("https://my.zakupki.prom.ua/remote/dispatcher/state_purchase_view/38666305", "UA-2022-11-18-010474-a")</f>
        <v/>
      </c>
      <c r="C90" s="2">
        <f>HYPERLINK("https://my.zakupki.prom.ua/remote/dispatcher/state_purchase_lot_view/790954", "UA-2022-11-18-010474-a-L790954")</f>
        <v/>
      </c>
      <c r="D90" s="2">
        <f>HYPERLINK("https://my.zakupki.prom.ua/remote/dispatcher/state_contracting_view/14767843", "UA-2022-11-18-010474-a-b1")</f>
        <v/>
      </c>
      <c r="E90" t="s" s="1">
        <v>51</v>
      </c>
      <c r="F90" t="s" s="1">
        <v>2083</v>
      </c>
      <c r="G90" t="s" s="1">
        <v>2983</v>
      </c>
      <c r="H90" t="s" s="1">
        <v>640</v>
      </c>
      <c r="I90" t="s" s="1">
        <v>1934</v>
      </c>
      <c r="J90" t="s" s="1">
        <v>3125</v>
      </c>
      <c r="K90" t="s" s="1">
        <v>690</v>
      </c>
      <c r="L90" t="s" s="1">
        <v>1261</v>
      </c>
      <c r="M90" t="n" s="5">
        <v>154110.17</v>
      </c>
      <c r="N90" t="n" s="7">
        <v>44900.0</v>
      </c>
      <c r="O90" t="n" s="7">
        <v>44926.0</v>
      </c>
      <c r="P90" t="s" s="1">
        <v>3259</v>
      </c>
    </row>
    <row r="91" spans="1:16">
      <c r="A91" t="n" s="4">
        <v>87</v>
      </c>
      <c r="B91" s="2">
        <f>HYPERLINK("https://my.zakupki.prom.ua/remote/dispatcher/state_purchase_view/39077040", "UA-2022-12-06-015064-a")</f>
        <v/>
      </c>
      <c r="C91" t="s" s="2">
        <v>2890</v>
      </c>
      <c r="D91" s="2">
        <f>HYPERLINK("https://my.zakupki.prom.ua/remote/dispatcher/state_contracting_view/14795909", "UA-2022-12-06-015064-a-a1")</f>
        <v/>
      </c>
      <c r="E91" t="s" s="1">
        <v>1508</v>
      </c>
      <c r="F91" t="s" s="1">
        <v>2450</v>
      </c>
      <c r="G91" t="s" s="1">
        <v>1866</v>
      </c>
      <c r="H91" t="s" s="1">
        <v>650</v>
      </c>
      <c r="I91" t="s" s="1">
        <v>2017</v>
      </c>
      <c r="J91" t="s" s="1">
        <v>3124</v>
      </c>
      <c r="K91" t="s" s="1">
        <v>337</v>
      </c>
      <c r="L91" t="s" s="1">
        <v>552</v>
      </c>
      <c r="M91" t="n" s="5">
        <v>24620.0</v>
      </c>
      <c r="N91" t="n" s="7">
        <v>44900.0</v>
      </c>
      <c r="O91" t="n" s="7">
        <v>44926.0</v>
      </c>
      <c r="P91" t="s" s="1">
        <v>3259</v>
      </c>
    </row>
    <row r="92" spans="1:16">
      <c r="A92" t="n" s="4">
        <v>88</v>
      </c>
      <c r="B92" s="2">
        <f>HYPERLINK("https://my.zakupki.prom.ua/remote/dispatcher/state_purchase_view/39166412", "UA-2022-12-08-017645-a")</f>
        <v/>
      </c>
      <c r="C92" t="s" s="2">
        <v>2890</v>
      </c>
      <c r="D92" s="2">
        <f>HYPERLINK("https://my.zakupki.prom.ua/remote/dispatcher/state_contracting_view/14836580", "UA-2022-12-08-017645-a-b1")</f>
        <v/>
      </c>
      <c r="E92" t="s" s="1">
        <v>1859</v>
      </c>
      <c r="F92" t="s" s="1">
        <v>2225</v>
      </c>
      <c r="G92" t="s" s="1">
        <v>2981</v>
      </c>
      <c r="H92" t="s" s="1">
        <v>245</v>
      </c>
      <c r="I92" t="s" s="1">
        <v>2017</v>
      </c>
      <c r="J92" t="s" s="1">
        <v>1927</v>
      </c>
      <c r="K92" t="s" s="1">
        <v>320</v>
      </c>
      <c r="L92" t="s" s="1">
        <v>1305</v>
      </c>
      <c r="M92" t="n" s="5">
        <v>308.0</v>
      </c>
      <c r="N92" t="n" s="7">
        <v>44903.0</v>
      </c>
      <c r="O92" t="n" s="7">
        <v>44926.0</v>
      </c>
      <c r="P92" t="s" s="1">
        <v>3259</v>
      </c>
    </row>
    <row r="93" spans="1:16">
      <c r="A93" t="n" s="4">
        <v>89</v>
      </c>
      <c r="B93" s="2">
        <f>HYPERLINK("https://my.zakupki.prom.ua/remote/dispatcher/state_purchase_view/38045192", "UA-2022-10-19-002401-a")</f>
        <v/>
      </c>
      <c r="C93" t="s" s="2">
        <v>2890</v>
      </c>
      <c r="D93" s="2">
        <f>HYPERLINK("https://my.zakupki.prom.ua/remote/dispatcher/state_contracting_view/14309020", "UA-2022-10-19-002401-a-a1")</f>
        <v/>
      </c>
      <c r="E93" t="s" s="1">
        <v>813</v>
      </c>
      <c r="F93" t="s" s="1">
        <v>2454</v>
      </c>
      <c r="G93" t="s" s="1">
        <v>1899</v>
      </c>
      <c r="H93" t="s" s="1">
        <v>650</v>
      </c>
      <c r="I93" t="s" s="1">
        <v>2017</v>
      </c>
      <c r="J93" t="s" s="1">
        <v>3098</v>
      </c>
      <c r="K93" t="s" s="1">
        <v>652</v>
      </c>
      <c r="L93" t="s" s="1">
        <v>328</v>
      </c>
      <c r="M93" t="n" s="5">
        <v>28590.0</v>
      </c>
      <c r="N93" t="n" s="7">
        <v>44852.0</v>
      </c>
      <c r="O93" t="n" s="7">
        <v>44926.0</v>
      </c>
      <c r="P93" t="s" s="1">
        <v>3259</v>
      </c>
    </row>
    <row r="94" spans="1:16">
      <c r="A94" t="n" s="4">
        <v>90</v>
      </c>
      <c r="B94" s="2">
        <f>HYPERLINK("https://my.zakupki.prom.ua/remote/dispatcher/state_purchase_view/38139503", "UA-2022-10-25-001038-a")</f>
        <v/>
      </c>
      <c r="C94" t="s" s="2">
        <v>2890</v>
      </c>
      <c r="D94" s="2">
        <f>HYPERLINK("https://my.zakupki.prom.ua/remote/dispatcher/state_contracting_view/14359251", "UA-2022-10-25-001038-a-c1")</f>
        <v/>
      </c>
      <c r="E94" t="s" s="1">
        <v>1607</v>
      </c>
      <c r="F94" t="s" s="1">
        <v>2716</v>
      </c>
      <c r="G94" t="s" s="1">
        <v>2716</v>
      </c>
      <c r="H94" t="s" s="1">
        <v>1319</v>
      </c>
      <c r="I94" t="s" s="1">
        <v>2017</v>
      </c>
      <c r="J94" t="s" s="1">
        <v>1924</v>
      </c>
      <c r="K94" t="s" s="1">
        <v>331</v>
      </c>
      <c r="L94" t="s" s="1">
        <v>1162</v>
      </c>
      <c r="M94" t="n" s="5">
        <v>5000.0</v>
      </c>
      <c r="N94" t="n" s="7">
        <v>44859.0</v>
      </c>
      <c r="O94" t="n" s="7">
        <v>44926.0</v>
      </c>
      <c r="P94" t="s" s="1">
        <v>3259</v>
      </c>
    </row>
    <row r="95" spans="1:16">
      <c r="A95" t="n" s="4">
        <v>91</v>
      </c>
      <c r="B95" s="2">
        <f>HYPERLINK("https://my.zakupki.prom.ua/remote/dispatcher/state_purchase_view/38261481", "UA-2022-11-01-000587-a")</f>
        <v/>
      </c>
      <c r="C95" t="s" s="2">
        <v>2890</v>
      </c>
      <c r="D95" s="2">
        <f>HYPERLINK("https://my.zakupki.prom.ua/remote/dispatcher/state_contracting_view/14418513", "UA-2022-11-01-000587-a-c1")</f>
        <v/>
      </c>
      <c r="E95" t="s" s="1">
        <v>1198</v>
      </c>
      <c r="F95" t="s" s="1">
        <v>2447</v>
      </c>
      <c r="G95" t="s" s="1">
        <v>2447</v>
      </c>
      <c r="H95" t="s" s="1">
        <v>650</v>
      </c>
      <c r="I95" t="s" s="1">
        <v>2017</v>
      </c>
      <c r="J95" t="s" s="1">
        <v>3113</v>
      </c>
      <c r="K95" t="s" s="1">
        <v>398</v>
      </c>
      <c r="L95" t="s" s="1">
        <v>1188</v>
      </c>
      <c r="M95" t="n" s="5">
        <v>10700.0</v>
      </c>
      <c r="N95" t="n" s="7">
        <v>44866.0</v>
      </c>
      <c r="O95" t="n" s="7">
        <v>44926.0</v>
      </c>
      <c r="P95" t="s" s="1">
        <v>3259</v>
      </c>
    </row>
    <row r="96" spans="1:16">
      <c r="A96" t="n" s="4">
        <v>92</v>
      </c>
      <c r="B96" s="2">
        <f>HYPERLINK("https://my.zakupki.prom.ua/remote/dispatcher/state_purchase_view/36524455", "UA-2022-06-30-001912-a")</f>
        <v/>
      </c>
      <c r="C96" t="s" s="2">
        <v>2890</v>
      </c>
      <c r="D96" s="2">
        <f>HYPERLINK("https://my.zakupki.prom.ua/remote/dispatcher/state_contracting_view/13574649", "UA-2022-06-30-001912-a-b1")</f>
        <v/>
      </c>
      <c r="E96" t="s" s="1">
        <v>46</v>
      </c>
      <c r="F96" t="s" s="1">
        <v>2108</v>
      </c>
      <c r="G96" t="s" s="1">
        <v>2928</v>
      </c>
      <c r="H96" t="s" s="1">
        <v>658</v>
      </c>
      <c r="I96" t="s" s="1">
        <v>2017</v>
      </c>
      <c r="J96" t="s" s="1">
        <v>3237</v>
      </c>
      <c r="K96" t="s" s="1">
        <v>687</v>
      </c>
      <c r="L96" t="s" s="1">
        <v>709</v>
      </c>
      <c r="M96" t="n" s="5">
        <v>22471.0</v>
      </c>
      <c r="N96" t="n" s="7">
        <v>44740.0</v>
      </c>
      <c r="O96" t="n" s="7">
        <v>44926.0</v>
      </c>
      <c r="P96" t="s" s="1">
        <v>3259</v>
      </c>
    </row>
    <row r="97" spans="1:16">
      <c r="A97" t="n" s="4">
        <v>93</v>
      </c>
      <c r="B97" s="2">
        <f>HYPERLINK("https://my.zakupki.prom.ua/remote/dispatcher/state_purchase_view/37564234", "UA-2022-09-19-001497-a")</f>
        <v/>
      </c>
      <c r="C97" t="s" s="2">
        <v>2890</v>
      </c>
      <c r="D97" s="2">
        <f>HYPERLINK("https://my.zakupki.prom.ua/remote/dispatcher/state_contracting_view/14072583", "UA-2022-09-19-001497-a-c1")</f>
        <v/>
      </c>
      <c r="E97" t="s" s="1">
        <v>1604</v>
      </c>
      <c r="F97" t="s" s="1">
        <v>2474</v>
      </c>
      <c r="G97" t="s" s="1">
        <v>3014</v>
      </c>
      <c r="H97" t="s" s="1">
        <v>650</v>
      </c>
      <c r="I97" t="s" s="1">
        <v>2017</v>
      </c>
      <c r="J97" t="s" s="1">
        <v>3113</v>
      </c>
      <c r="K97" t="s" s="1">
        <v>398</v>
      </c>
      <c r="L97" t="s" s="1">
        <v>1058</v>
      </c>
      <c r="M97" t="n" s="5">
        <v>10257.0</v>
      </c>
      <c r="N97" t="n" s="7">
        <v>44820.0</v>
      </c>
      <c r="O97" t="n" s="7">
        <v>44926.0</v>
      </c>
      <c r="P97" t="s" s="1">
        <v>3259</v>
      </c>
    </row>
    <row r="98" spans="1:16">
      <c r="A98" t="n" s="4">
        <v>94</v>
      </c>
      <c r="B98" s="2">
        <f>HYPERLINK("https://my.zakupki.prom.ua/remote/dispatcher/state_purchase_view/37569894", "UA-2022-09-19-004402-a")</f>
        <v/>
      </c>
      <c r="C98" t="s" s="2">
        <v>2890</v>
      </c>
      <c r="D98" s="2">
        <f>HYPERLINK("https://my.zakupki.prom.ua/remote/dispatcher/state_contracting_view/14077231", "UA-2022-09-19-004402-a-b1")</f>
        <v/>
      </c>
      <c r="E98" t="s" s="1">
        <v>1455</v>
      </c>
      <c r="F98" t="s" s="1">
        <v>2168</v>
      </c>
      <c r="G98" t="s" s="1">
        <v>3244</v>
      </c>
      <c r="H98" t="s" s="1">
        <v>68</v>
      </c>
      <c r="I98" t="s" s="1">
        <v>2017</v>
      </c>
      <c r="J98" t="s" s="1">
        <v>3128</v>
      </c>
      <c r="K98" t="s" s="1">
        <v>777</v>
      </c>
      <c r="L98" t="s" s="1">
        <v>995</v>
      </c>
      <c r="M98" t="n" s="5">
        <v>49700.0</v>
      </c>
      <c r="N98" t="n" s="7">
        <v>44823.0</v>
      </c>
      <c r="O98" t="n" s="7">
        <v>44926.0</v>
      </c>
      <c r="P98" t="s" s="1">
        <v>3259</v>
      </c>
    </row>
    <row r="99" spans="1:16">
      <c r="A99" t="n" s="4">
        <v>95</v>
      </c>
      <c r="B99" s="2">
        <f>HYPERLINK("https://my.zakupki.prom.ua/remote/dispatcher/state_purchase_view/37709594", "UA-2022-09-27-004802-a")</f>
        <v/>
      </c>
      <c r="C99" t="s" s="2">
        <v>2890</v>
      </c>
      <c r="D99" s="2">
        <f>HYPERLINK("https://my.zakupki.prom.ua/remote/dispatcher/state_contracting_view/14144634", "UA-2022-09-27-004802-a-c1")</f>
        <v/>
      </c>
      <c r="E99" t="s" s="1">
        <v>1213</v>
      </c>
      <c r="F99" t="s" s="1">
        <v>2637</v>
      </c>
      <c r="G99" t="s" s="1">
        <v>3233</v>
      </c>
      <c r="H99" t="s" s="1">
        <v>933</v>
      </c>
      <c r="I99" t="s" s="1">
        <v>2017</v>
      </c>
      <c r="J99" t="s" s="1">
        <v>1927</v>
      </c>
      <c r="K99" t="s" s="1">
        <v>320</v>
      </c>
      <c r="L99" t="s" s="1">
        <v>1069</v>
      </c>
      <c r="M99" t="n" s="5">
        <v>1470.0</v>
      </c>
      <c r="N99" t="n" s="7">
        <v>44831.0</v>
      </c>
      <c r="O99" t="n" s="7">
        <v>44926.0</v>
      </c>
      <c r="P99" t="s" s="1">
        <v>3259</v>
      </c>
    </row>
    <row r="100" spans="1:16">
      <c r="A100" t="n" s="4">
        <v>96</v>
      </c>
      <c r="B100" s="2">
        <f>HYPERLINK("https://my.zakupki.prom.ua/remote/dispatcher/state_purchase_view/37750898", "UA-2022-09-29-003565-a")</f>
        <v/>
      </c>
      <c r="C100" t="s" s="2">
        <v>2890</v>
      </c>
      <c r="D100" s="2">
        <f>HYPERLINK("https://my.zakupki.prom.ua/remote/dispatcher/state_contracting_view/14165268", "UA-2022-09-29-003565-a-a1")</f>
        <v/>
      </c>
      <c r="E100" t="s" s="1">
        <v>1302</v>
      </c>
      <c r="F100" t="s" s="1">
        <v>2149</v>
      </c>
      <c r="G100" t="s" s="1">
        <v>2967</v>
      </c>
      <c r="H100" t="s" s="1">
        <v>926</v>
      </c>
      <c r="I100" t="s" s="1">
        <v>2017</v>
      </c>
      <c r="J100" t="s" s="1">
        <v>2904</v>
      </c>
      <c r="K100" t="s" s="1">
        <v>688</v>
      </c>
      <c r="L100" t="s" s="1">
        <v>1095</v>
      </c>
      <c r="M100" t="n" s="5">
        <v>104622.0</v>
      </c>
      <c r="N100" t="n" s="7">
        <v>44833.0</v>
      </c>
      <c r="O100" t="n" s="7">
        <v>44926.0</v>
      </c>
      <c r="P100" t="s" s="1">
        <v>3259</v>
      </c>
    </row>
    <row r="101" spans="1:16">
      <c r="A101" t="n" s="4">
        <v>97</v>
      </c>
      <c r="B101" s="2">
        <f>HYPERLINK("https://my.zakupki.prom.ua/remote/dispatcher/state_purchase_view/37879168", "UA-2022-10-07-003875-a")</f>
        <v/>
      </c>
      <c r="C101" t="s" s="2">
        <v>2890</v>
      </c>
      <c r="D101" s="2">
        <f>HYPERLINK("https://my.zakupki.prom.ua/remote/dispatcher/state_contracting_view/14227531", "UA-2022-10-07-003875-a-a1")</f>
        <v/>
      </c>
      <c r="E101" t="s" s="1">
        <v>1554</v>
      </c>
      <c r="F101" t="s" s="1">
        <v>2583</v>
      </c>
      <c r="G101" t="s" s="1">
        <v>2937</v>
      </c>
      <c r="H101" t="s" s="1">
        <v>904</v>
      </c>
      <c r="I101" t="s" s="1">
        <v>2017</v>
      </c>
      <c r="J101" t="s" s="1">
        <v>2906</v>
      </c>
      <c r="K101" t="s" s="1">
        <v>621</v>
      </c>
      <c r="L101" t="s" s="1">
        <v>1111</v>
      </c>
      <c r="M101" t="n" s="5">
        <v>12096.0</v>
      </c>
      <c r="N101" t="n" s="7">
        <v>44840.0</v>
      </c>
      <c r="O101" t="n" s="7">
        <v>44926.0</v>
      </c>
      <c r="P101" t="s" s="1">
        <v>3259</v>
      </c>
    </row>
    <row r="102" spans="1:16">
      <c r="A102" t="n" s="4">
        <v>98</v>
      </c>
      <c r="B102" s="2">
        <f>HYPERLINK("https://my.zakupki.prom.ua/remote/dispatcher/state_purchase_view/37325602", "UA-2022-09-02-003571-a")</f>
        <v/>
      </c>
      <c r="C102" t="s" s="2">
        <v>2890</v>
      </c>
      <c r="D102" s="2">
        <f>HYPERLINK("https://my.zakupki.prom.ua/remote/dispatcher/state_contracting_view/13957302", "UA-2022-09-02-003571-a-b1")</f>
        <v/>
      </c>
      <c r="E102" t="s" s="1">
        <v>1391</v>
      </c>
      <c r="F102" t="s" s="1">
        <v>2308</v>
      </c>
      <c r="G102" t="s" s="1">
        <v>3278</v>
      </c>
      <c r="H102" t="s" s="1">
        <v>584</v>
      </c>
      <c r="I102" t="s" s="1">
        <v>2017</v>
      </c>
      <c r="J102" t="s" s="1">
        <v>3145</v>
      </c>
      <c r="K102" t="s" s="1">
        <v>495</v>
      </c>
      <c r="L102" t="s" s="1">
        <v>3052</v>
      </c>
      <c r="M102" t="n" s="5">
        <v>726.0</v>
      </c>
      <c r="N102" t="n" s="7">
        <v>44806.0</v>
      </c>
      <c r="O102" t="n" s="7">
        <v>44926.0</v>
      </c>
      <c r="P102" t="s" s="1">
        <v>3259</v>
      </c>
    </row>
    <row r="103" spans="1:16">
      <c r="A103" t="n" s="4">
        <v>99</v>
      </c>
      <c r="B103" s="2">
        <f>HYPERLINK("https://my.zakupki.prom.ua/remote/dispatcher/state_purchase_view/37709344", "UA-2022-09-27-004676-a")</f>
        <v/>
      </c>
      <c r="C103" t="s" s="2">
        <v>2890</v>
      </c>
      <c r="D103" s="2">
        <f>HYPERLINK("https://my.zakupki.prom.ua/remote/dispatcher/state_contracting_view/14144582", "UA-2022-09-27-004676-a-b1")</f>
        <v/>
      </c>
      <c r="E103" t="s" s="1">
        <v>1140</v>
      </c>
      <c r="F103" t="s" s="1">
        <v>2171</v>
      </c>
      <c r="G103" t="s" s="1">
        <v>2867</v>
      </c>
      <c r="H103" t="s" s="1">
        <v>69</v>
      </c>
      <c r="I103" t="s" s="1">
        <v>2017</v>
      </c>
      <c r="J103" t="s" s="1">
        <v>1927</v>
      </c>
      <c r="K103" t="s" s="1">
        <v>320</v>
      </c>
      <c r="L103" t="s" s="1">
        <v>1070</v>
      </c>
      <c r="M103" t="n" s="5">
        <v>373.0</v>
      </c>
      <c r="N103" t="n" s="7">
        <v>44831.0</v>
      </c>
      <c r="O103" t="n" s="7">
        <v>44926.0</v>
      </c>
      <c r="P103" t="s" s="1">
        <v>3259</v>
      </c>
    </row>
    <row r="104" spans="1:16">
      <c r="A104" t="n" s="4">
        <v>100</v>
      </c>
      <c r="B104" s="2">
        <f>HYPERLINK("https://my.zakupki.prom.ua/remote/dispatcher/state_purchase_view/36585018", "UA-2022-07-06-005387-a")</f>
        <v/>
      </c>
      <c r="C104" t="s" s="2">
        <v>2890</v>
      </c>
      <c r="D104" s="2">
        <f>HYPERLINK("https://my.zakupki.prom.ua/remote/dispatcher/state_contracting_view/13604745", "UA-2022-07-06-005387-a-b1")</f>
        <v/>
      </c>
      <c r="E104" t="s" s="1">
        <v>1792</v>
      </c>
      <c r="F104" t="s" s="1">
        <v>2764</v>
      </c>
      <c r="G104" t="s" s="1">
        <v>2764</v>
      </c>
      <c r="H104" t="s" s="1">
        <v>1445</v>
      </c>
      <c r="I104" t="s" s="1">
        <v>2017</v>
      </c>
      <c r="J104" t="s" s="1">
        <v>3113</v>
      </c>
      <c r="K104" t="s" s="1">
        <v>398</v>
      </c>
      <c r="L104" t="s" s="1">
        <v>723</v>
      </c>
      <c r="M104" t="n" s="5">
        <v>35000.0</v>
      </c>
      <c r="N104" t="n" s="7">
        <v>44748.0</v>
      </c>
      <c r="O104" t="n" s="7">
        <v>44926.0</v>
      </c>
      <c r="P104" t="s" s="1">
        <v>3259</v>
      </c>
    </row>
    <row r="105" spans="1:16">
      <c r="A105" t="n" s="4">
        <v>101</v>
      </c>
      <c r="B105" s="2">
        <f>HYPERLINK("https://my.zakupki.prom.ua/remote/dispatcher/state_purchase_view/36644203", "UA-2022-07-12-002998-a")</f>
        <v/>
      </c>
      <c r="C105" t="s" s="2">
        <v>2890</v>
      </c>
      <c r="D105" s="2">
        <f>HYPERLINK("https://my.zakupki.prom.ua/remote/dispatcher/state_contracting_view/13632412", "UA-2022-07-12-002998-a-b1")</f>
        <v/>
      </c>
      <c r="E105" t="s" s="1">
        <v>1656</v>
      </c>
      <c r="F105" t="s" s="1">
        <v>2090</v>
      </c>
      <c r="G105" t="s" s="1">
        <v>3202</v>
      </c>
      <c r="H105" t="s" s="1">
        <v>411</v>
      </c>
      <c r="I105" t="s" s="1">
        <v>2017</v>
      </c>
      <c r="J105" t="s" s="1">
        <v>3113</v>
      </c>
      <c r="K105" t="s" s="1">
        <v>398</v>
      </c>
      <c r="L105" t="s" s="1">
        <v>734</v>
      </c>
      <c r="M105" t="n" s="5">
        <v>439.2</v>
      </c>
      <c r="N105" t="n" s="7">
        <v>44753.0</v>
      </c>
      <c r="O105" t="n" s="7">
        <v>44926.0</v>
      </c>
      <c r="P105" t="s" s="1">
        <v>3259</v>
      </c>
    </row>
    <row r="106" spans="1:16">
      <c r="A106" t="n" s="4">
        <v>102</v>
      </c>
      <c r="B106" s="2">
        <f>HYPERLINK("https://my.zakupki.prom.ua/remote/dispatcher/state_purchase_view/36688215", "UA-2022-07-15-000529-a")</f>
        <v/>
      </c>
      <c r="C106" t="s" s="2">
        <v>2890</v>
      </c>
      <c r="D106" s="2">
        <f>HYPERLINK("https://my.zakupki.prom.ua/remote/dispatcher/state_contracting_view/13652865", "UA-2022-07-15-000529-a-b1")</f>
        <v/>
      </c>
      <c r="E106" t="s" s="1">
        <v>288</v>
      </c>
      <c r="F106" t="s" s="1">
        <v>2524</v>
      </c>
      <c r="G106" t="s" s="1">
        <v>2524</v>
      </c>
      <c r="H106" t="s" s="1">
        <v>772</v>
      </c>
      <c r="I106" t="s" s="1">
        <v>2017</v>
      </c>
      <c r="J106" t="s" s="1">
        <v>1906</v>
      </c>
      <c r="K106" t="s" s="1">
        <v>491</v>
      </c>
      <c r="L106" t="s" s="1">
        <v>744</v>
      </c>
      <c r="M106" t="n" s="5">
        <v>8500.0</v>
      </c>
      <c r="N106" t="n" s="7">
        <v>44756.0</v>
      </c>
      <c r="O106" t="n" s="7">
        <v>44926.0</v>
      </c>
      <c r="P106" t="s" s="1">
        <v>3259</v>
      </c>
    </row>
    <row r="107" spans="1:16">
      <c r="A107" t="n" s="4">
        <v>103</v>
      </c>
      <c r="B107" s="2">
        <f>HYPERLINK("https://my.zakupki.prom.ua/remote/dispatcher/state_purchase_view/36709290", "UA-2022-07-18-003587-a")</f>
        <v/>
      </c>
      <c r="C107" t="s" s="2">
        <v>2890</v>
      </c>
      <c r="D107" s="2">
        <f>HYPERLINK("https://my.zakupki.prom.ua/remote/dispatcher/state_contracting_view/13662575", "UA-2022-07-18-003587-a-b1")</f>
        <v/>
      </c>
      <c r="E107" t="s" s="1">
        <v>1454</v>
      </c>
      <c r="F107" t="s" s="1">
        <v>2565</v>
      </c>
      <c r="G107" t="s" s="1">
        <v>2959</v>
      </c>
      <c r="H107" t="s" s="1">
        <v>900</v>
      </c>
      <c r="I107" t="s" s="1">
        <v>2017</v>
      </c>
      <c r="J107" t="s" s="1">
        <v>2904</v>
      </c>
      <c r="K107" t="s" s="1">
        <v>688</v>
      </c>
      <c r="L107" t="s" s="1">
        <v>760</v>
      </c>
      <c r="M107" t="n" s="5">
        <v>52.4</v>
      </c>
      <c r="N107" t="n" s="7">
        <v>44760.0</v>
      </c>
      <c r="O107" t="n" s="7">
        <v>44926.0</v>
      </c>
      <c r="P107" t="s" s="1">
        <v>3259</v>
      </c>
    </row>
    <row r="108" spans="1:16">
      <c r="A108" t="n" s="4">
        <v>104</v>
      </c>
      <c r="B108" s="2">
        <f>HYPERLINK("https://my.zakupki.prom.ua/remote/dispatcher/state_purchase_view/37718138", "UA-2022-09-27-009386-a")</f>
        <v/>
      </c>
      <c r="C108" t="s" s="2">
        <v>2890</v>
      </c>
      <c r="D108" s="2">
        <f>HYPERLINK("https://my.zakupki.prom.ua/remote/dispatcher/state_contracting_view/14149069", "UA-2022-09-27-009386-a-b1")</f>
        <v/>
      </c>
      <c r="E108" t="s" s="1">
        <v>689</v>
      </c>
      <c r="F108" t="s" s="1">
        <v>2529</v>
      </c>
      <c r="G108" t="s" s="1">
        <v>1944</v>
      </c>
      <c r="H108" t="s" s="1">
        <v>774</v>
      </c>
      <c r="I108" t="s" s="1">
        <v>2017</v>
      </c>
      <c r="J108" t="s" s="1">
        <v>1927</v>
      </c>
      <c r="K108" t="s" s="1">
        <v>320</v>
      </c>
      <c r="L108" t="s" s="1">
        <v>1080</v>
      </c>
      <c r="M108" t="n" s="5">
        <v>567.0</v>
      </c>
      <c r="N108" t="n" s="7">
        <v>44831.0</v>
      </c>
      <c r="O108" t="n" s="7">
        <v>44926.0</v>
      </c>
      <c r="P108" t="s" s="1">
        <v>3259</v>
      </c>
    </row>
    <row r="109" spans="1:16">
      <c r="A109" t="n" s="4">
        <v>105</v>
      </c>
      <c r="B109" s="2">
        <f>HYPERLINK("https://my.zakupki.prom.ua/remote/dispatcher/state_purchase_view/37719715", "UA-2022-09-27-010226-a")</f>
        <v/>
      </c>
      <c r="C109" t="s" s="2">
        <v>2890</v>
      </c>
      <c r="D109" s="2">
        <f>HYPERLINK("https://my.zakupki.prom.ua/remote/dispatcher/state_contracting_view/14149840", "UA-2022-09-27-010226-a-b1")</f>
        <v/>
      </c>
      <c r="E109" t="s" s="1">
        <v>1693</v>
      </c>
      <c r="F109" t="s" s="1">
        <v>2616</v>
      </c>
      <c r="G109" t="s" s="1">
        <v>2994</v>
      </c>
      <c r="H109" t="s" s="1">
        <v>922</v>
      </c>
      <c r="I109" t="s" s="1">
        <v>2017</v>
      </c>
      <c r="J109" t="s" s="1">
        <v>1927</v>
      </c>
      <c r="K109" t="s" s="1">
        <v>320</v>
      </c>
      <c r="L109" t="s" s="1">
        <v>1089</v>
      </c>
      <c r="M109" t="n" s="5">
        <v>250.0</v>
      </c>
      <c r="N109" t="n" s="7">
        <v>44831.0</v>
      </c>
      <c r="O109" t="n" s="7">
        <v>44926.0</v>
      </c>
      <c r="P109" t="s" s="1">
        <v>3259</v>
      </c>
    </row>
    <row r="110" spans="1:16">
      <c r="A110" t="n" s="4">
        <v>106</v>
      </c>
      <c r="B110" s="2">
        <f>HYPERLINK("https://my.zakupki.prom.ua/remote/dispatcher/state_purchase_view/34193614", "UA-2022-01-19-003084-a")</f>
        <v/>
      </c>
      <c r="C110" t="s" s="2">
        <v>2890</v>
      </c>
      <c r="D110" s="2">
        <f>HYPERLINK("https://my.zakupki.prom.ua/remote/dispatcher/state_contracting_view/12437456", "UA-2022-01-19-003084-a-a1")</f>
        <v/>
      </c>
      <c r="E110" t="s" s="1">
        <v>1675</v>
      </c>
      <c r="F110" t="s" s="1">
        <v>2783</v>
      </c>
      <c r="G110" t="s" s="1">
        <v>2783</v>
      </c>
      <c r="H110" t="s" s="1">
        <v>1487</v>
      </c>
      <c r="I110" t="s" s="1">
        <v>2017</v>
      </c>
      <c r="J110" t="s" s="1">
        <v>3080</v>
      </c>
      <c r="K110" t="s" s="1">
        <v>788</v>
      </c>
      <c r="L110" t="s" s="1">
        <v>1158</v>
      </c>
      <c r="M110" t="n" s="5">
        <v>300000.0</v>
      </c>
      <c r="N110" t="n" s="7">
        <v>44580.0</v>
      </c>
      <c r="O110" t="n" s="7">
        <v>44926.0</v>
      </c>
      <c r="P110" t="s" s="1">
        <v>3259</v>
      </c>
    </row>
    <row r="111" spans="1:16">
      <c r="A111" t="n" s="4">
        <v>107</v>
      </c>
      <c r="B111" s="2">
        <f>HYPERLINK("https://my.zakupki.prom.ua/remote/dispatcher/state_purchase_view/35833942", "UA-2022-04-05-001692-b")</f>
        <v/>
      </c>
      <c r="C111" t="s" s="2">
        <v>2890</v>
      </c>
      <c r="D111" s="2">
        <f>HYPERLINK("https://my.zakupki.prom.ua/remote/dispatcher/state_contracting_view/13221353", "UA-2022-04-05-001692-b-b1")</f>
        <v/>
      </c>
      <c r="E111" t="s" s="1">
        <v>1745</v>
      </c>
      <c r="F111" t="s" s="1">
        <v>2528</v>
      </c>
      <c r="G111" t="s" s="1">
        <v>2528</v>
      </c>
      <c r="H111" t="s" s="1">
        <v>774</v>
      </c>
      <c r="I111" t="s" s="1">
        <v>2017</v>
      </c>
      <c r="J111" t="s" s="1">
        <v>3237</v>
      </c>
      <c r="K111" t="s" s="1">
        <v>687</v>
      </c>
      <c r="L111" t="s" s="1">
        <v>314</v>
      </c>
      <c r="M111" t="n" s="5">
        <v>1952.0</v>
      </c>
      <c r="N111" t="n" s="7">
        <v>44656.0</v>
      </c>
      <c r="O111" t="n" s="7">
        <v>44926.0</v>
      </c>
      <c r="P111" t="s" s="1">
        <v>3259</v>
      </c>
    </row>
    <row r="112" spans="1:16">
      <c r="A112" t="n" s="4">
        <v>108</v>
      </c>
      <c r="B112" s="2">
        <f>HYPERLINK("https://my.zakupki.prom.ua/remote/dispatcher/state_purchase_view/35079261", "UA-2022-02-11-001444-b")</f>
        <v/>
      </c>
      <c r="C112" t="s" s="2">
        <v>2890</v>
      </c>
      <c r="D112" s="2">
        <f>HYPERLINK("https://my.zakupki.prom.ua/remote/dispatcher/state_contracting_view/12842091", "UA-2022-02-11-001444-b-b1")</f>
        <v/>
      </c>
      <c r="E112" t="s" s="1">
        <v>1519</v>
      </c>
      <c r="F112" t="s" s="1">
        <v>2763</v>
      </c>
      <c r="G112" t="s" s="1">
        <v>2763</v>
      </c>
      <c r="H112" t="s" s="1">
        <v>1445</v>
      </c>
      <c r="I112" t="s" s="1">
        <v>2017</v>
      </c>
      <c r="J112" t="s" s="1">
        <v>2034</v>
      </c>
      <c r="K112" t="s" s="1">
        <v>399</v>
      </c>
      <c r="L112" t="s" s="1">
        <v>1431</v>
      </c>
      <c r="M112" t="n" s="5">
        <v>12240.0</v>
      </c>
      <c r="N112" t="n" s="7">
        <v>44602.0</v>
      </c>
      <c r="O112" t="n" s="7">
        <v>44926.0</v>
      </c>
      <c r="P112" t="s" s="1">
        <v>3259</v>
      </c>
    </row>
    <row r="113" spans="1:16">
      <c r="A113" t="n" s="4">
        <v>109</v>
      </c>
      <c r="B113" s="2">
        <f>HYPERLINK("https://my.zakupki.prom.ua/remote/dispatcher/state_purchase_view/35637406", "UA-2022-03-14-001767-a")</f>
        <v/>
      </c>
      <c r="C113" t="s" s="2">
        <v>2890</v>
      </c>
      <c r="D113" s="2">
        <f>HYPERLINK("https://my.zakupki.prom.ua/remote/dispatcher/state_contracting_view/13117034", "UA-2022-03-14-001767-a-a1")</f>
        <v/>
      </c>
      <c r="E113" t="s" s="1">
        <v>988</v>
      </c>
      <c r="F113" t="s" s="1">
        <v>2346</v>
      </c>
      <c r="G113" t="s" s="1">
        <v>3246</v>
      </c>
      <c r="H113" t="s" s="1">
        <v>638</v>
      </c>
      <c r="I113" t="s" s="1">
        <v>2017</v>
      </c>
      <c r="J113" t="s" s="1">
        <v>3166</v>
      </c>
      <c r="K113" t="s" s="1">
        <v>690</v>
      </c>
      <c r="L113" t="s" s="1">
        <v>204</v>
      </c>
      <c r="M113" t="n" s="5">
        <v>525.8</v>
      </c>
      <c r="N113" t="n" s="7">
        <v>44634.0</v>
      </c>
      <c r="O113" t="n" s="7">
        <v>44926.0</v>
      </c>
      <c r="P113" t="s" s="1">
        <v>3259</v>
      </c>
    </row>
    <row r="114" spans="1:16">
      <c r="A114" t="n" s="4">
        <v>110</v>
      </c>
      <c r="B114" s="2">
        <f>HYPERLINK("https://my.zakupki.prom.ua/remote/dispatcher/state_purchase_view/35625869", "UA-2022-03-11-002201-a")</f>
        <v/>
      </c>
      <c r="C114" t="s" s="2">
        <v>2890</v>
      </c>
      <c r="D114" s="2">
        <f>HYPERLINK("https://my.zakupki.prom.ua/remote/dispatcher/state_contracting_view/13110428", "UA-2022-03-11-002201-a-a1")</f>
        <v/>
      </c>
      <c r="E114" t="s" s="1">
        <v>1561</v>
      </c>
      <c r="F114" t="s" s="1">
        <v>2349</v>
      </c>
      <c r="G114" t="s" s="1">
        <v>3267</v>
      </c>
      <c r="H114" t="s" s="1">
        <v>638</v>
      </c>
      <c r="I114" t="s" s="1">
        <v>2017</v>
      </c>
      <c r="J114" t="s" s="1">
        <v>3113</v>
      </c>
      <c r="K114" t="s" s="1">
        <v>398</v>
      </c>
      <c r="L114" t="s" s="1">
        <v>184</v>
      </c>
      <c r="M114" t="n" s="5">
        <v>8653.52</v>
      </c>
      <c r="N114" t="n" s="7">
        <v>44630.0</v>
      </c>
      <c r="O114" t="n" s="7">
        <v>44926.0</v>
      </c>
      <c r="P114" t="s" s="1">
        <v>3259</v>
      </c>
    </row>
    <row r="115" spans="1:16">
      <c r="A115" t="n" s="4">
        <v>111</v>
      </c>
      <c r="B115" s="2">
        <f>HYPERLINK("https://my.zakupki.prom.ua/remote/dispatcher/state_purchase_view/36071612", "UA-2022-05-06-000909-a")</f>
        <v/>
      </c>
      <c r="C115" t="s" s="2">
        <v>2890</v>
      </c>
      <c r="D115" s="2">
        <f>HYPERLINK("https://my.zakupki.prom.ua/remote/dispatcher/state_contracting_view/13345159", "UA-2022-05-06-000909-a-a1")</f>
        <v/>
      </c>
      <c r="E115" t="s" s="1">
        <v>1680</v>
      </c>
      <c r="F115" t="s" s="1">
        <v>2426</v>
      </c>
      <c r="G115" t="s" s="1">
        <v>3175</v>
      </c>
      <c r="H115" t="s" s="1">
        <v>650</v>
      </c>
      <c r="I115" t="s" s="1">
        <v>2017</v>
      </c>
      <c r="J115" t="s" s="1">
        <v>3113</v>
      </c>
      <c r="K115" t="s" s="1">
        <v>398</v>
      </c>
      <c r="L115" t="s" s="1">
        <v>451</v>
      </c>
      <c r="M115" t="n" s="5">
        <v>33903.86</v>
      </c>
      <c r="N115" t="n" s="7">
        <v>44686.0</v>
      </c>
      <c r="O115" t="n" s="7">
        <v>44926.0</v>
      </c>
      <c r="P115" t="s" s="1">
        <v>3259</v>
      </c>
    </row>
    <row r="116" spans="1:16">
      <c r="A116" t="n" s="4">
        <v>112</v>
      </c>
      <c r="B116" s="2">
        <f>HYPERLINK("https://my.zakupki.prom.ua/remote/dispatcher/state_purchase_view/34028975", "UA-2022-01-12-003457-a")</f>
        <v/>
      </c>
      <c r="C116" t="s" s="2">
        <v>2890</v>
      </c>
      <c r="D116" s="2">
        <f>HYPERLINK("https://my.zakupki.prom.ua/remote/dispatcher/state_contracting_view/12374221", "UA-2022-01-12-003457-a-a1")</f>
        <v/>
      </c>
      <c r="E116" t="s" s="1">
        <v>1566</v>
      </c>
      <c r="F116" t="s" s="1">
        <v>2145</v>
      </c>
      <c r="G116" t="s" s="1">
        <v>1872</v>
      </c>
      <c r="H116" t="s" s="1">
        <v>650</v>
      </c>
      <c r="I116" t="s" s="1">
        <v>2017</v>
      </c>
      <c r="J116" t="s" s="1">
        <v>3056</v>
      </c>
      <c r="K116" t="s" s="1">
        <v>398</v>
      </c>
      <c r="L116" t="s" s="1">
        <v>98</v>
      </c>
      <c r="M116" t="n" s="5">
        <v>1495.38</v>
      </c>
      <c r="N116" t="n" s="7">
        <v>44572.0</v>
      </c>
      <c r="O116" t="n" s="7">
        <v>44926.0</v>
      </c>
      <c r="P116" t="s" s="1">
        <v>3259</v>
      </c>
    </row>
    <row r="117" spans="1:16">
      <c r="A117" t="n" s="4">
        <v>113</v>
      </c>
      <c r="B117" s="2">
        <f>HYPERLINK("https://my.zakupki.prom.ua/remote/dispatcher/state_purchase_view/33959263", "UA-2022-01-06-001249-c")</f>
        <v/>
      </c>
      <c r="C117" t="s" s="2">
        <v>2890</v>
      </c>
      <c r="D117" s="2">
        <f>HYPERLINK("https://my.zakupki.prom.ua/remote/dispatcher/state_contracting_view/12348040", "UA-2022-01-06-001249-c-c1")</f>
        <v/>
      </c>
      <c r="E117" t="s" s="1">
        <v>1850</v>
      </c>
      <c r="F117" t="s" s="1">
        <v>2199</v>
      </c>
      <c r="G117" t="s" s="1">
        <v>2198</v>
      </c>
      <c r="H117" t="s" s="1">
        <v>186</v>
      </c>
      <c r="I117" t="s" s="1">
        <v>2017</v>
      </c>
      <c r="J117" t="s" s="1">
        <v>2037</v>
      </c>
      <c r="K117" t="s" s="1">
        <v>151</v>
      </c>
      <c r="L117" t="s" s="1">
        <v>1021</v>
      </c>
      <c r="M117" t="n" s="5">
        <v>49977.0</v>
      </c>
      <c r="N117" t="n" s="7">
        <v>44567.0</v>
      </c>
      <c r="O117" t="n" s="7">
        <v>44926.0</v>
      </c>
      <c r="P117" t="s" s="1">
        <v>3259</v>
      </c>
    </row>
    <row r="118" spans="1:16">
      <c r="A118" t="n" s="4">
        <v>114</v>
      </c>
      <c r="B118" s="2">
        <f>HYPERLINK("https://my.zakupki.prom.ua/remote/dispatcher/state_purchase_view/34810388", "UA-2022-02-03-011543-b")</f>
        <v/>
      </c>
      <c r="C118" t="s" s="2">
        <v>2890</v>
      </c>
      <c r="D118" s="2">
        <f>HYPERLINK("https://my.zakupki.prom.ua/remote/dispatcher/state_contracting_view/12719557", "UA-2022-02-03-011543-b-b1")</f>
        <v/>
      </c>
      <c r="E118" t="s" s="1">
        <v>798</v>
      </c>
      <c r="F118" t="s" s="1">
        <v>2735</v>
      </c>
      <c r="G118" t="s" s="1">
        <v>2735</v>
      </c>
      <c r="H118" t="s" s="1">
        <v>1330</v>
      </c>
      <c r="I118" t="s" s="1">
        <v>2017</v>
      </c>
      <c r="J118" t="s" s="1">
        <v>2924</v>
      </c>
      <c r="K118" t="s" s="1">
        <v>708</v>
      </c>
      <c r="L118" t="s" s="1">
        <v>1181</v>
      </c>
      <c r="M118" t="n" s="5">
        <v>1400.0</v>
      </c>
      <c r="N118" t="n" s="7">
        <v>44595.0</v>
      </c>
      <c r="O118" t="n" s="7">
        <v>44926.0</v>
      </c>
      <c r="P118" t="s" s="1">
        <v>3259</v>
      </c>
    </row>
    <row r="119" spans="1:16">
      <c r="A119" t="n" s="4">
        <v>115</v>
      </c>
      <c r="B119" s="2">
        <f>HYPERLINK("https://my.zakupki.prom.ua/remote/dispatcher/state_purchase_view/34793407", "UA-2022-02-03-006572-b")</f>
        <v/>
      </c>
      <c r="C119" t="s" s="2">
        <v>2890</v>
      </c>
      <c r="D119" s="2">
        <f>HYPERLINK("https://my.zakupki.prom.ua/remote/dispatcher/state_contracting_view/12718217", "UA-2022-02-03-006572-b-b1")</f>
        <v/>
      </c>
      <c r="E119" t="s" s="1">
        <v>879</v>
      </c>
      <c r="F119" t="s" s="1">
        <v>2516</v>
      </c>
      <c r="G119" t="s" s="1">
        <v>2516</v>
      </c>
      <c r="H119" t="s" s="1">
        <v>754</v>
      </c>
      <c r="I119" t="s" s="1">
        <v>2017</v>
      </c>
      <c r="J119" t="s" s="1">
        <v>3179</v>
      </c>
      <c r="K119" t="s" s="1">
        <v>457</v>
      </c>
      <c r="L119" t="s" s="1">
        <v>429</v>
      </c>
      <c r="M119" t="n" s="5">
        <v>7310.0</v>
      </c>
      <c r="N119" t="n" s="7">
        <v>44595.0</v>
      </c>
      <c r="O119" t="n" s="7">
        <v>44926.0</v>
      </c>
      <c r="P119" t="s" s="1">
        <v>3259</v>
      </c>
    </row>
    <row r="120" spans="1:16">
      <c r="A120" t="n" s="4">
        <v>116</v>
      </c>
      <c r="B120" s="2">
        <f>HYPERLINK("https://my.zakupki.prom.ua/remote/dispatcher/state_purchase_view/34574359", "UA-2022-01-28-002924-b")</f>
        <v/>
      </c>
      <c r="C120" t="s" s="2">
        <v>2890</v>
      </c>
      <c r="D120" s="2">
        <f>HYPERLINK("https://my.zakupki.prom.ua/remote/dispatcher/state_contracting_view/12604969", "UA-2022-01-28-002924-b-b1")</f>
        <v/>
      </c>
      <c r="E120" t="s" s="1">
        <v>979</v>
      </c>
      <c r="F120" t="s" s="1">
        <v>2205</v>
      </c>
      <c r="G120" t="s" s="1">
        <v>3290</v>
      </c>
      <c r="H120" t="s" s="1">
        <v>194</v>
      </c>
      <c r="I120" t="s" s="1">
        <v>2017</v>
      </c>
      <c r="J120" t="s" s="1">
        <v>2925</v>
      </c>
      <c r="K120" t="s" s="1">
        <v>679</v>
      </c>
      <c r="L120" t="s" s="1">
        <v>949</v>
      </c>
      <c r="M120" t="n" s="5">
        <v>49020.0</v>
      </c>
      <c r="N120" t="n" s="7">
        <v>44589.0</v>
      </c>
      <c r="O120" t="n" s="7">
        <v>44926.0</v>
      </c>
      <c r="P120" t="s" s="1">
        <v>3259</v>
      </c>
    </row>
    <row r="121" spans="1:16">
      <c r="A121" t="n" s="4">
        <v>117</v>
      </c>
      <c r="B121" s="2">
        <f>HYPERLINK("https://my.zakupki.prom.ua/remote/dispatcher/state_purchase_view/34781788", "UA-2022-02-03-003257-b")</f>
        <v/>
      </c>
      <c r="C121" t="s" s="2">
        <v>2890</v>
      </c>
      <c r="D121" s="2">
        <f>HYPERLINK("https://my.zakupki.prom.ua/remote/dispatcher/state_contracting_view/12718536", "UA-2022-02-03-003257-b-b1")</f>
        <v/>
      </c>
      <c r="E121" t="s" s="1">
        <v>1837</v>
      </c>
      <c r="F121" t="s" s="1">
        <v>2158</v>
      </c>
      <c r="G121" t="s" s="1">
        <v>2158</v>
      </c>
      <c r="H121" t="s" s="1">
        <v>27</v>
      </c>
      <c r="I121" t="s" s="1">
        <v>2017</v>
      </c>
      <c r="J121" t="s" s="1">
        <v>3144</v>
      </c>
      <c r="K121" t="s" s="1">
        <v>556</v>
      </c>
      <c r="L121" t="s" s="1">
        <v>964</v>
      </c>
      <c r="M121" t="n" s="5">
        <v>40176.0</v>
      </c>
      <c r="N121" t="n" s="7">
        <v>44593.0</v>
      </c>
      <c r="O121" t="n" s="7">
        <v>44926.0</v>
      </c>
      <c r="P121" t="s" s="1">
        <v>3259</v>
      </c>
    </row>
    <row r="122" spans="1:16">
      <c r="A122" t="n" s="4">
        <v>118</v>
      </c>
      <c r="B122" s="2">
        <f>HYPERLINK("https://my.zakupki.prom.ua/remote/dispatcher/state_purchase_view/34995748", "UA-2022-02-09-007784-b")</f>
        <v/>
      </c>
      <c r="C122" t="s" s="2">
        <v>2890</v>
      </c>
      <c r="D122" s="2">
        <f>HYPERLINK("https://my.zakupki.prom.ua/remote/dispatcher/state_contracting_view/12816227", "UA-2022-02-09-007784-b-b1")</f>
        <v/>
      </c>
      <c r="E122" t="s" s="1">
        <v>1729</v>
      </c>
      <c r="F122" t="s" s="1">
        <v>2728</v>
      </c>
      <c r="G122" t="s" s="1">
        <v>2728</v>
      </c>
      <c r="H122" t="s" s="1">
        <v>1322</v>
      </c>
      <c r="I122" t="s" s="1">
        <v>2017</v>
      </c>
      <c r="J122" t="s" s="1">
        <v>1967</v>
      </c>
      <c r="K122" t="s" s="1">
        <v>236</v>
      </c>
      <c r="L122" t="s" s="1">
        <v>302</v>
      </c>
      <c r="M122" t="n" s="5">
        <v>1669.32</v>
      </c>
      <c r="N122" t="n" s="7">
        <v>44601.0</v>
      </c>
      <c r="O122" t="n" s="7">
        <v>44926.0</v>
      </c>
      <c r="P122" t="s" s="1">
        <v>3259</v>
      </c>
    </row>
    <row r="123" spans="1:16">
      <c r="A123" t="n" s="4">
        <v>119</v>
      </c>
      <c r="B123" s="2">
        <f>HYPERLINK("https://my.zakupki.prom.ua/remote/dispatcher/state_purchase_view/35925690", "UA-2022-04-14-002582-b")</f>
        <v/>
      </c>
      <c r="C123" t="s" s="2">
        <v>2890</v>
      </c>
      <c r="D123" s="2">
        <f>HYPERLINK("https://my.zakupki.prom.ua/remote/dispatcher/state_contracting_view/13268201", "UA-2022-04-14-002582-b-b1")</f>
        <v/>
      </c>
      <c r="E123" t="s" s="1">
        <v>1011</v>
      </c>
      <c r="F123" t="s" s="1">
        <v>2672</v>
      </c>
      <c r="G123" t="s" s="1">
        <v>2672</v>
      </c>
      <c r="H123" t="s" s="1">
        <v>1027</v>
      </c>
      <c r="I123" t="s" s="1">
        <v>2017</v>
      </c>
      <c r="J123" t="s" s="1">
        <v>1970</v>
      </c>
      <c r="K123" t="s" s="1">
        <v>40</v>
      </c>
      <c r="L123" t="s" s="1">
        <v>353</v>
      </c>
      <c r="M123" t="n" s="5">
        <v>4171.5</v>
      </c>
      <c r="N123" t="n" s="7">
        <v>44665.0</v>
      </c>
      <c r="O123" t="n" s="7">
        <v>44926.0</v>
      </c>
      <c r="P123" t="s" s="1">
        <v>3259</v>
      </c>
    </row>
    <row r="124" spans="1:16">
      <c r="A124" t="n" s="4">
        <v>120</v>
      </c>
      <c r="B124" s="2">
        <f>HYPERLINK("https://my.zakupki.prom.ua/remote/dispatcher/state_purchase_view/35527101", "UA-2022-02-28-000700-a")</f>
        <v/>
      </c>
      <c r="C124" t="s" s="2">
        <v>2890</v>
      </c>
      <c r="D124" s="2">
        <f>HYPERLINK("https://my.zakupki.prom.ua/remote/dispatcher/state_contracting_view/13057716", "UA-2022-02-28-000700-a-a1")</f>
        <v/>
      </c>
      <c r="E124" t="s" s="1">
        <v>346</v>
      </c>
      <c r="F124" t="s" s="1">
        <v>2422</v>
      </c>
      <c r="G124" t="s" s="1">
        <v>3008</v>
      </c>
      <c r="H124" t="s" s="1">
        <v>650</v>
      </c>
      <c r="I124" t="s" s="1">
        <v>2017</v>
      </c>
      <c r="J124" t="s" s="1">
        <v>3099</v>
      </c>
      <c r="K124" t="s" s="1">
        <v>652</v>
      </c>
      <c r="L124" t="s" s="1">
        <v>1180</v>
      </c>
      <c r="M124" t="n" s="5">
        <v>5368.0</v>
      </c>
      <c r="N124" t="n" s="7">
        <v>44617.0</v>
      </c>
      <c r="O124" t="n" s="7">
        <v>44926.0</v>
      </c>
      <c r="P124" t="s" s="1">
        <v>3259</v>
      </c>
    </row>
    <row r="125" spans="1:16">
      <c r="A125" t="n" s="4">
        <v>121</v>
      </c>
      <c r="B125" s="2">
        <f>HYPERLINK("https://my.zakupki.prom.ua/remote/dispatcher/state_purchase_view/35803204", "UA-2022-03-31-002587-b")</f>
        <v/>
      </c>
      <c r="C125" t="s" s="2">
        <v>2890</v>
      </c>
      <c r="D125" s="2">
        <f>HYPERLINK("https://my.zakupki.prom.ua/remote/dispatcher/state_contracting_view/13205310", "UA-2022-03-31-002587-b-b1")</f>
        <v/>
      </c>
      <c r="E125" t="s" s="1">
        <v>1035</v>
      </c>
      <c r="F125" t="s" s="1">
        <v>2089</v>
      </c>
      <c r="G125" t="s" s="1">
        <v>2089</v>
      </c>
      <c r="H125" t="s" s="1">
        <v>274</v>
      </c>
      <c r="I125" t="s" s="1">
        <v>2017</v>
      </c>
      <c r="J125" t="s" s="1">
        <v>3237</v>
      </c>
      <c r="K125" t="s" s="1">
        <v>687</v>
      </c>
      <c r="L125" t="s" s="1">
        <v>309</v>
      </c>
      <c r="M125" t="n" s="5">
        <v>16175.0</v>
      </c>
      <c r="N125" t="n" s="7">
        <v>44651.0</v>
      </c>
      <c r="O125" t="n" s="7">
        <v>44926.0</v>
      </c>
      <c r="P125" t="s" s="1">
        <v>3259</v>
      </c>
    </row>
    <row r="126" spans="1:16">
      <c r="A126" t="n" s="4">
        <v>122</v>
      </c>
      <c r="B126" s="2">
        <f>HYPERLINK("https://my.zakupki.prom.ua/remote/dispatcher/state_purchase_view/35790205", "UA-2022-03-30-002178-b")</f>
        <v/>
      </c>
      <c r="C126" t="s" s="2">
        <v>2890</v>
      </c>
      <c r="D126" s="2">
        <f>HYPERLINK("https://my.zakupki.prom.ua/remote/dispatcher/state_contracting_view/13201134", "UA-2022-03-30-002178-b-b1")</f>
        <v/>
      </c>
      <c r="E126" t="s" s="1">
        <v>1404</v>
      </c>
      <c r="F126" t="s" s="1">
        <v>2084</v>
      </c>
      <c r="G126" t="s" s="1">
        <v>3270</v>
      </c>
      <c r="H126" t="s" s="1">
        <v>69</v>
      </c>
      <c r="I126" t="s" s="1">
        <v>2017</v>
      </c>
      <c r="J126" t="s" s="1">
        <v>1927</v>
      </c>
      <c r="K126" t="s" s="1">
        <v>320</v>
      </c>
      <c r="L126" t="s" s="1">
        <v>256</v>
      </c>
      <c r="M126" t="n" s="5">
        <v>230.0</v>
      </c>
      <c r="N126" t="n" s="7">
        <v>44651.0</v>
      </c>
      <c r="O126" t="n" s="7">
        <v>44926.0</v>
      </c>
      <c r="P126" t="s" s="1">
        <v>3259</v>
      </c>
    </row>
    <row r="127" spans="1:16">
      <c r="A127" t="n" s="4">
        <v>123</v>
      </c>
      <c r="B127" s="2">
        <f>HYPERLINK("https://my.zakupki.prom.ua/remote/dispatcher/state_purchase_view/36191381", "UA-2022-05-24-001245-a")</f>
        <v/>
      </c>
      <c r="C127" t="s" s="2">
        <v>2890</v>
      </c>
      <c r="D127" s="2">
        <f>HYPERLINK("https://my.zakupki.prom.ua/remote/dispatcher/state_contracting_view/13405076", "UA-2022-05-24-001245-a-b1")</f>
        <v/>
      </c>
      <c r="E127" t="s" s="1">
        <v>1601</v>
      </c>
      <c r="F127" t="s" s="1">
        <v>2780</v>
      </c>
      <c r="G127" t="s" s="1">
        <v>2780</v>
      </c>
      <c r="H127" t="s" s="1">
        <v>1486</v>
      </c>
      <c r="I127" t="s" s="1">
        <v>2017</v>
      </c>
      <c r="J127" t="s" s="1">
        <v>2989</v>
      </c>
      <c r="K127" t="s" s="1">
        <v>500</v>
      </c>
      <c r="L127" t="s" s="1">
        <v>497</v>
      </c>
      <c r="M127" t="n" s="5">
        <v>15112.0</v>
      </c>
      <c r="N127" t="n" s="7">
        <v>44705.0</v>
      </c>
      <c r="O127" t="n" s="7">
        <v>44926.0</v>
      </c>
      <c r="P127" t="s" s="1">
        <v>3259</v>
      </c>
    </row>
    <row r="128" spans="1:16">
      <c r="A128" t="n" s="4">
        <v>124</v>
      </c>
      <c r="B128" s="2">
        <f>HYPERLINK("https://my.zakupki.prom.ua/remote/dispatcher/state_purchase_view/36171236", "UA-2022-05-20-001024-a")</f>
        <v/>
      </c>
      <c r="C128" t="s" s="2">
        <v>2890</v>
      </c>
      <c r="D128" s="2">
        <f>HYPERLINK("https://my.zakupki.prom.ua/remote/dispatcher/state_contracting_view/13394002", "UA-2022-05-20-001024-a-b1")</f>
        <v/>
      </c>
      <c r="E128" t="s" s="1">
        <v>283</v>
      </c>
      <c r="F128" t="s" s="1">
        <v>2289</v>
      </c>
      <c r="G128" t="s" s="1">
        <v>2289</v>
      </c>
      <c r="H128" t="s" s="1">
        <v>576</v>
      </c>
      <c r="I128" t="s" s="1">
        <v>2017</v>
      </c>
      <c r="J128" t="s" s="1">
        <v>1950</v>
      </c>
      <c r="K128" t="s" s="1">
        <v>676</v>
      </c>
      <c r="L128" t="s" s="1">
        <v>203</v>
      </c>
      <c r="M128" t="n" s="5">
        <v>10296.8</v>
      </c>
      <c r="N128" t="n" s="7">
        <v>44701.0</v>
      </c>
      <c r="O128" t="n" s="7">
        <v>44926.0</v>
      </c>
      <c r="P128" t="s" s="1">
        <v>3259</v>
      </c>
    </row>
    <row r="129" spans="1:16">
      <c r="A129" t="n" s="4">
        <v>125</v>
      </c>
      <c r="B129" s="2">
        <f>HYPERLINK("https://my.zakupki.prom.ua/remote/dispatcher/state_purchase_view/34805557", "UA-2022-02-03-010085-b")</f>
        <v/>
      </c>
      <c r="C129" t="s" s="2">
        <v>2890</v>
      </c>
      <c r="D129" s="2">
        <f>HYPERLINK("https://my.zakupki.prom.ua/remote/dispatcher/state_contracting_view/13110696", "UA-2022-02-03-010085-b-b1")</f>
        <v/>
      </c>
      <c r="E129" t="s" s="1">
        <v>598</v>
      </c>
      <c r="F129" t="s" s="1">
        <v>2099</v>
      </c>
      <c r="G129" t="s" s="1">
        <v>2099</v>
      </c>
      <c r="H129" t="s" s="1">
        <v>642</v>
      </c>
      <c r="I129" t="s" s="1">
        <v>1933</v>
      </c>
      <c r="J129" t="s" s="1">
        <v>3086</v>
      </c>
      <c r="K129" t="s" s="1">
        <v>758</v>
      </c>
      <c r="L129" t="s" s="1">
        <v>189</v>
      </c>
      <c r="M129" t="n" s="5">
        <v>398450.0</v>
      </c>
      <c r="N129" t="n" s="7">
        <v>44631.0</v>
      </c>
      <c r="O129" t="n" s="7">
        <v>44926.0</v>
      </c>
      <c r="P129" t="s" s="1">
        <v>3259</v>
      </c>
    </row>
    <row r="130" spans="1:16">
      <c r="A130" t="n" s="4">
        <v>126</v>
      </c>
      <c r="B130" s="2">
        <f>HYPERLINK("https://my.zakupki.prom.ua/remote/dispatcher/state_purchase_view/37355252", "UA-2022-09-05-008444-a")</f>
        <v/>
      </c>
      <c r="C130" t="s" s="2">
        <v>2890</v>
      </c>
      <c r="D130" s="2">
        <f>HYPERLINK("https://my.zakupki.prom.ua/remote/dispatcher/state_contracting_view/13971222", "UA-2022-09-05-008444-a-b1")</f>
        <v/>
      </c>
      <c r="E130" t="s" s="1">
        <v>1799</v>
      </c>
      <c r="F130" t="s" s="1">
        <v>2473</v>
      </c>
      <c r="G130" t="s" s="1">
        <v>2993</v>
      </c>
      <c r="H130" t="s" s="1">
        <v>650</v>
      </c>
      <c r="I130" t="s" s="1">
        <v>2017</v>
      </c>
      <c r="J130" t="s" s="1">
        <v>3113</v>
      </c>
      <c r="K130" t="s" s="1">
        <v>398</v>
      </c>
      <c r="L130" t="s" s="1">
        <v>1038</v>
      </c>
      <c r="M130" t="n" s="5">
        <v>3412.25</v>
      </c>
      <c r="N130" t="n" s="7">
        <v>44806.0</v>
      </c>
      <c r="O130" t="n" s="7">
        <v>44926.0</v>
      </c>
      <c r="P130" t="s" s="1">
        <v>3259</v>
      </c>
    </row>
    <row r="131" spans="1:16">
      <c r="A131" t="n" s="4">
        <v>127</v>
      </c>
      <c r="B131" s="2">
        <f>HYPERLINK("https://my.zakupki.prom.ua/remote/dispatcher/state_purchase_view/37408783", "UA-2022-09-08-001983-a")</f>
        <v/>
      </c>
      <c r="C131" t="s" s="2">
        <v>2890</v>
      </c>
      <c r="D131" s="2">
        <f>HYPERLINK("https://my.zakupki.prom.ua/remote/dispatcher/state_contracting_view/13996950", "UA-2022-09-08-001983-a-b1")</f>
        <v/>
      </c>
      <c r="E131" t="s" s="1">
        <v>1459</v>
      </c>
      <c r="F131" t="s" s="1">
        <v>2469</v>
      </c>
      <c r="G131" t="s" s="1">
        <v>2889</v>
      </c>
      <c r="H131" t="s" s="1">
        <v>650</v>
      </c>
      <c r="I131" t="s" s="1">
        <v>2017</v>
      </c>
      <c r="J131" t="s" s="1">
        <v>3113</v>
      </c>
      <c r="K131" t="s" s="1">
        <v>398</v>
      </c>
      <c r="L131" t="s" s="1">
        <v>1040</v>
      </c>
      <c r="M131" t="n" s="5">
        <v>5548.8</v>
      </c>
      <c r="N131" t="n" s="7">
        <v>44812.0</v>
      </c>
      <c r="O131" t="n" s="7">
        <v>44926.0</v>
      </c>
      <c r="P131" t="s" s="1">
        <v>3259</v>
      </c>
    </row>
    <row r="132" spans="1:16">
      <c r="A132" t="n" s="4">
        <v>128</v>
      </c>
      <c r="B132" s="2">
        <f>HYPERLINK("https://my.zakupki.prom.ua/remote/dispatcher/state_purchase_view/37456653", "UA-2022-09-12-003536-a")</f>
        <v/>
      </c>
      <c r="C132" t="s" s="2">
        <v>2890</v>
      </c>
      <c r="D132" s="2">
        <f>HYPERLINK("https://my.zakupki.prom.ua/remote/dispatcher/state_contracting_view/14020884", "UA-2022-09-12-003536-a-b1")</f>
        <v/>
      </c>
      <c r="E132" t="s" s="1">
        <v>1280</v>
      </c>
      <c r="F132" t="s" s="1">
        <v>2510</v>
      </c>
      <c r="G132" t="s" s="1">
        <v>2510</v>
      </c>
      <c r="H132" t="s" s="1">
        <v>700</v>
      </c>
      <c r="I132" t="s" s="1">
        <v>2017</v>
      </c>
      <c r="J132" t="s" s="1">
        <v>1951</v>
      </c>
      <c r="K132" t="s" s="1">
        <v>560</v>
      </c>
      <c r="L132" t="s" s="1">
        <v>1050</v>
      </c>
      <c r="M132" t="n" s="5">
        <v>306.0</v>
      </c>
      <c r="N132" t="n" s="7">
        <v>44816.0</v>
      </c>
      <c r="O132" t="n" s="7">
        <v>44926.0</v>
      </c>
      <c r="P132" t="s" s="1">
        <v>3259</v>
      </c>
    </row>
    <row r="133" spans="1:16">
      <c r="A133" t="n" s="4">
        <v>129</v>
      </c>
      <c r="B133" s="2">
        <f>HYPERLINK("https://my.zakupki.prom.ua/remote/dispatcher/state_purchase_view/37708539", "UA-2022-09-27-004278-a")</f>
        <v/>
      </c>
      <c r="C133" t="s" s="2">
        <v>2890</v>
      </c>
      <c r="D133" s="2">
        <f>HYPERLINK("https://my.zakupki.prom.ua/remote/dispatcher/state_contracting_view/14144124", "UA-2022-09-27-004278-a-a1")</f>
        <v/>
      </c>
      <c r="E133" t="s" s="1">
        <v>1538</v>
      </c>
      <c r="F133" t="s" s="1">
        <v>2562</v>
      </c>
      <c r="G133" t="s" s="1">
        <v>3214</v>
      </c>
      <c r="H133" t="s" s="1">
        <v>900</v>
      </c>
      <c r="I133" t="s" s="1">
        <v>2017</v>
      </c>
      <c r="J133" t="s" s="1">
        <v>1927</v>
      </c>
      <c r="K133" t="s" s="1">
        <v>320</v>
      </c>
      <c r="L133" t="s" s="1">
        <v>1074</v>
      </c>
      <c r="M133" t="n" s="5">
        <v>1320.0</v>
      </c>
      <c r="N133" t="n" s="7">
        <v>44831.0</v>
      </c>
      <c r="O133" t="n" s="7">
        <v>44926.0</v>
      </c>
      <c r="P133" t="s" s="1">
        <v>3259</v>
      </c>
    </row>
    <row r="134" spans="1:16">
      <c r="A134" t="n" s="4">
        <v>130</v>
      </c>
      <c r="B134" s="2">
        <f>HYPERLINK("https://my.zakupki.prom.ua/remote/dispatcher/state_purchase_view/39692223", "UA-2022-12-23-012833-a")</f>
        <v/>
      </c>
      <c r="C134" t="s" s="2">
        <v>2890</v>
      </c>
      <c r="D134" s="2">
        <f>HYPERLINK("https://my.zakupki.prom.ua/remote/dispatcher/state_contracting_view/15086895", "UA-2022-12-23-012833-a-a1")</f>
        <v/>
      </c>
      <c r="E134" t="s" s="1">
        <v>1286</v>
      </c>
      <c r="F134" t="s" s="1">
        <v>2636</v>
      </c>
      <c r="G134" t="s" s="1">
        <v>2979</v>
      </c>
      <c r="H134" t="s" s="1">
        <v>933</v>
      </c>
      <c r="I134" t="s" s="1">
        <v>2017</v>
      </c>
      <c r="J134" t="s" s="1">
        <v>1927</v>
      </c>
      <c r="K134" t="s" s="1">
        <v>320</v>
      </c>
      <c r="L134" t="s" s="1">
        <v>1338</v>
      </c>
      <c r="M134" t="n" s="5">
        <v>258.0</v>
      </c>
      <c r="N134" t="n" s="7">
        <v>44918.0</v>
      </c>
      <c r="O134" t="n" s="7">
        <v>44926.0</v>
      </c>
      <c r="P134" t="s" s="1">
        <v>3259</v>
      </c>
    </row>
    <row r="135" spans="1:16">
      <c r="A135" t="n" s="4">
        <v>131</v>
      </c>
      <c r="B135" s="2">
        <f>HYPERLINK("https://my.zakupki.prom.ua/remote/dispatcher/state_purchase_view/39702036", "UA-2022-12-23-017652-a")</f>
        <v/>
      </c>
      <c r="C135" t="s" s="2">
        <v>2890</v>
      </c>
      <c r="D135" s="2">
        <f>HYPERLINK("https://my.zakupki.prom.ua/remote/dispatcher/state_contracting_view/15091549", "UA-2022-12-23-017652-a-a1")</f>
        <v/>
      </c>
      <c r="E135" t="s" s="1">
        <v>1064</v>
      </c>
      <c r="F135" t="s" s="1">
        <v>2214</v>
      </c>
      <c r="G135" t="s" s="1">
        <v>2851</v>
      </c>
      <c r="H135" t="s" s="1">
        <v>197</v>
      </c>
      <c r="I135" t="s" s="1">
        <v>2017</v>
      </c>
      <c r="J135" t="s" s="1">
        <v>3237</v>
      </c>
      <c r="K135" t="s" s="1">
        <v>687</v>
      </c>
      <c r="L135" t="s" s="1">
        <v>1348</v>
      </c>
      <c r="M135" t="n" s="5">
        <v>3300.0</v>
      </c>
      <c r="N135" t="n" s="7">
        <v>44918.0</v>
      </c>
      <c r="O135" t="n" s="7">
        <v>44926.0</v>
      </c>
      <c r="P135" t="s" s="1">
        <v>3259</v>
      </c>
    </row>
    <row r="136" spans="1:16">
      <c r="A136" t="n" s="4">
        <v>132</v>
      </c>
      <c r="B136" s="2">
        <f>HYPERLINK("https://my.zakupki.prom.ua/remote/dispatcher/state_purchase_view/39775820", "UA-2022-12-27-005080-a")</f>
        <v/>
      </c>
      <c r="C136" t="s" s="2">
        <v>2890</v>
      </c>
      <c r="D136" s="2">
        <f>HYPERLINK("https://my.zakupki.prom.ua/remote/dispatcher/state_contracting_view/15127789", "UA-2022-12-27-005080-a-a1")</f>
        <v/>
      </c>
      <c r="E136" t="s" s="1">
        <v>1511</v>
      </c>
      <c r="F136" t="s" s="1">
        <v>2610</v>
      </c>
      <c r="G136" t="s" s="1">
        <v>3001</v>
      </c>
      <c r="H136" t="s" s="1">
        <v>919</v>
      </c>
      <c r="I136" t="s" s="1">
        <v>2017</v>
      </c>
      <c r="J136" t="s" s="1">
        <v>2929</v>
      </c>
      <c r="K136" t="s" s="1">
        <v>688</v>
      </c>
      <c r="L136" t="s" s="1">
        <v>1368</v>
      </c>
      <c r="M136" t="n" s="5">
        <v>132.0</v>
      </c>
      <c r="N136" t="n" s="7">
        <v>44922.0</v>
      </c>
      <c r="O136" t="n" s="7">
        <v>44926.0</v>
      </c>
      <c r="P136" t="s" s="1">
        <v>3259</v>
      </c>
    </row>
    <row r="137" spans="1:16">
      <c r="A137" t="n" s="4">
        <v>133</v>
      </c>
      <c r="B137" s="2">
        <f>HYPERLINK("https://my.zakupki.prom.ua/remote/dispatcher/state_purchase_view/37928559", "UA-2022-10-12-001255-a")</f>
        <v/>
      </c>
      <c r="C137" t="s" s="2">
        <v>2890</v>
      </c>
      <c r="D137" s="2">
        <f>HYPERLINK("https://my.zakupki.prom.ua/remote/dispatcher/state_contracting_view/14252091", "UA-2022-10-12-001255-a-c1")</f>
        <v/>
      </c>
      <c r="E137" t="s" s="1">
        <v>1858</v>
      </c>
      <c r="F137" t="s" s="1">
        <v>2459</v>
      </c>
      <c r="G137" t="s" s="1">
        <v>1949</v>
      </c>
      <c r="H137" t="s" s="1">
        <v>650</v>
      </c>
      <c r="I137" t="s" s="1">
        <v>2017</v>
      </c>
      <c r="J137" t="s" s="1">
        <v>3124</v>
      </c>
      <c r="K137" t="s" s="1">
        <v>337</v>
      </c>
      <c r="L137" t="s" s="1">
        <v>490</v>
      </c>
      <c r="M137" t="n" s="5">
        <v>78312.0</v>
      </c>
      <c r="N137" t="n" s="7">
        <v>44845.0</v>
      </c>
      <c r="O137" t="n" s="7">
        <v>44926.0</v>
      </c>
      <c r="P137" t="s" s="1">
        <v>3259</v>
      </c>
    </row>
    <row r="138" spans="1:16">
      <c r="A138" t="n" s="4">
        <v>134</v>
      </c>
      <c r="B138" s="2">
        <f>HYPERLINK("https://my.zakupki.prom.ua/remote/dispatcher/state_purchase_view/38435332", "UA-2022-11-09-001441-a")</f>
        <v/>
      </c>
      <c r="C138" t="s" s="2">
        <v>2890</v>
      </c>
      <c r="D138" s="2">
        <f>HYPERLINK("https://my.zakupki.prom.ua/remote/dispatcher/state_contracting_view/14500767", "UA-2022-11-09-001441-a-b1")</f>
        <v/>
      </c>
      <c r="E138" t="s" s="1">
        <v>1672</v>
      </c>
      <c r="F138" t="s" s="1">
        <v>2448</v>
      </c>
      <c r="G138" t="s" s="1">
        <v>3289</v>
      </c>
      <c r="H138" t="s" s="1">
        <v>650</v>
      </c>
      <c r="I138" t="s" s="1">
        <v>2017</v>
      </c>
      <c r="J138" t="s" s="1">
        <v>3113</v>
      </c>
      <c r="K138" t="s" s="1">
        <v>398</v>
      </c>
      <c r="L138" t="s" s="1">
        <v>1200</v>
      </c>
      <c r="M138" t="n" s="5">
        <v>3580.8</v>
      </c>
      <c r="N138" t="n" s="7">
        <v>44874.0</v>
      </c>
      <c r="O138" t="n" s="7">
        <v>44926.0</v>
      </c>
      <c r="P138" t="s" s="1">
        <v>3259</v>
      </c>
    </row>
    <row r="139" spans="1:16">
      <c r="A139" t="n" s="4">
        <v>135</v>
      </c>
      <c r="B139" s="2">
        <f>HYPERLINK("https://my.zakupki.prom.ua/remote/dispatcher/state_purchase_view/38505619", "UA-2022-11-11-005383-a")</f>
        <v/>
      </c>
      <c r="C139" t="s" s="2">
        <v>2890</v>
      </c>
      <c r="D139" s="2">
        <f>HYPERLINK("https://my.zakupki.prom.ua/remote/dispatcher/state_contracting_view/14533206", "UA-2022-11-11-005383-a-b1")</f>
        <v/>
      </c>
      <c r="E139" t="s" s="1">
        <v>1661</v>
      </c>
      <c r="F139" t="s" s="1">
        <v>2303</v>
      </c>
      <c r="G139" t="s" s="1">
        <v>2844</v>
      </c>
      <c r="H139" t="s" s="1">
        <v>582</v>
      </c>
      <c r="I139" t="s" s="1">
        <v>2017</v>
      </c>
      <c r="J139" t="s" s="1">
        <v>3145</v>
      </c>
      <c r="K139" t="s" s="1">
        <v>495</v>
      </c>
      <c r="L139" t="s" s="1">
        <v>3044</v>
      </c>
      <c r="M139" t="n" s="5">
        <v>3780.0</v>
      </c>
      <c r="N139" t="n" s="7">
        <v>44876.0</v>
      </c>
      <c r="O139" t="n" s="7">
        <v>44926.0</v>
      </c>
      <c r="P139" t="s" s="1">
        <v>3259</v>
      </c>
    </row>
    <row r="140" spans="1:16">
      <c r="A140" t="n" s="4">
        <v>136</v>
      </c>
      <c r="B140" s="2">
        <f>HYPERLINK("https://my.zakupki.prom.ua/remote/dispatcher/state_purchase_view/38568136", "UA-2022-11-15-004495-a")</f>
        <v/>
      </c>
      <c r="C140" t="s" s="2">
        <v>2890</v>
      </c>
      <c r="D140" s="2">
        <f>HYPERLINK("https://my.zakupki.prom.ua/remote/dispatcher/state_contracting_view/14561767", "UA-2022-11-15-004495-a-b1")</f>
        <v/>
      </c>
      <c r="E140" t="s" s="1">
        <v>714</v>
      </c>
      <c r="F140" t="s" s="1">
        <v>2576</v>
      </c>
      <c r="G140" t="s" s="1">
        <v>2811</v>
      </c>
      <c r="H140" t="s" s="1">
        <v>902</v>
      </c>
      <c r="I140" t="s" s="1">
        <v>2017</v>
      </c>
      <c r="J140" t="s" s="1">
        <v>1927</v>
      </c>
      <c r="K140" t="s" s="1">
        <v>320</v>
      </c>
      <c r="L140" t="s" s="1">
        <v>1226</v>
      </c>
      <c r="M140" t="n" s="5">
        <v>2290.0</v>
      </c>
      <c r="N140" t="n" s="7">
        <v>44880.0</v>
      </c>
      <c r="O140" t="n" s="7">
        <v>44926.0</v>
      </c>
      <c r="P140" t="s" s="1">
        <v>3259</v>
      </c>
    </row>
    <row r="141" spans="1:16">
      <c r="A141" t="n" s="4">
        <v>137</v>
      </c>
      <c r="B141" s="2">
        <f>HYPERLINK("https://my.zakupki.prom.ua/remote/dispatcher/state_purchase_view/35320697", "UA-2022-02-18-004404-b")</f>
        <v/>
      </c>
      <c r="C141" t="s" s="2">
        <v>2890</v>
      </c>
      <c r="D141" s="2">
        <f>HYPERLINK("https://my.zakupki.prom.ua/remote/dispatcher/state_contracting_view/12957477", "UA-2022-02-18-004404-b-b1")</f>
        <v/>
      </c>
      <c r="E141" t="s" s="1">
        <v>1594</v>
      </c>
      <c r="F141" t="s" s="1">
        <v>1</v>
      </c>
      <c r="G141" t="s" s="1">
        <v>1550</v>
      </c>
      <c r="H141" t="s" s="1">
        <v>651</v>
      </c>
      <c r="I141" t="s" s="1">
        <v>2017</v>
      </c>
      <c r="J141" t="s" s="1">
        <v>3129</v>
      </c>
      <c r="K141" t="s" s="1">
        <v>923</v>
      </c>
      <c r="L141" t="s" s="1">
        <v>114</v>
      </c>
      <c r="M141" t="n" s="5">
        <v>7820.0</v>
      </c>
      <c r="N141" t="n" s="7">
        <v>44610.0</v>
      </c>
      <c r="O141" t="n" s="7">
        <v>44926.0</v>
      </c>
      <c r="P141" t="s" s="1">
        <v>3259</v>
      </c>
    </row>
    <row r="142" spans="1:16">
      <c r="A142" t="n" s="4">
        <v>138</v>
      </c>
      <c r="B142" s="2">
        <f>HYPERLINK("https://my.zakupki.prom.ua/remote/dispatcher/state_purchase_view/36753772", "UA-2022-07-21-000815-a")</f>
        <v/>
      </c>
      <c r="C142" t="s" s="2">
        <v>2890</v>
      </c>
      <c r="D142" s="2">
        <f>HYPERLINK("https://my.zakupki.prom.ua/remote/dispatcher/state_contracting_view/13683416", "UA-2022-07-21-000815-a-b1")</f>
        <v/>
      </c>
      <c r="E142" t="s" s="1">
        <v>57</v>
      </c>
      <c r="F142" t="s" s="1">
        <v>2283</v>
      </c>
      <c r="G142" t="s" s="1">
        <v>1883</v>
      </c>
      <c r="H142" t="s" s="1">
        <v>572</v>
      </c>
      <c r="I142" t="s" s="1">
        <v>2017</v>
      </c>
      <c r="J142" t="s" s="1">
        <v>2904</v>
      </c>
      <c r="K142" t="s" s="1">
        <v>688</v>
      </c>
      <c r="L142" t="s" s="1">
        <v>883</v>
      </c>
      <c r="M142" t="n" s="5">
        <v>855.0</v>
      </c>
      <c r="N142" t="n" s="7">
        <v>44762.0</v>
      </c>
      <c r="O142" t="n" s="7">
        <v>44926.0</v>
      </c>
      <c r="P142" t="s" s="1">
        <v>3259</v>
      </c>
    </row>
    <row r="143" spans="1:16">
      <c r="A143" t="n" s="4">
        <v>139</v>
      </c>
      <c r="B143" s="2">
        <f>HYPERLINK("https://my.zakupki.prom.ua/remote/dispatcher/state_purchase_view/36748493", "UA-2022-07-20-006676-a")</f>
        <v/>
      </c>
      <c r="C143" t="s" s="2">
        <v>2890</v>
      </c>
      <c r="D143" s="2">
        <f>HYPERLINK("https://my.zakupki.prom.ua/remote/dispatcher/state_contracting_view/13680734", "UA-2022-07-20-006676-a-b1")</f>
        <v/>
      </c>
      <c r="E143" t="s" s="1">
        <v>1393</v>
      </c>
      <c r="F143" t="s" s="1">
        <v>2222</v>
      </c>
      <c r="G143" t="s" s="1">
        <v>1953</v>
      </c>
      <c r="H143" t="s" s="1">
        <v>214</v>
      </c>
      <c r="I143" t="s" s="1">
        <v>2017</v>
      </c>
      <c r="J143" t="s" s="1">
        <v>2904</v>
      </c>
      <c r="K143" t="s" s="1">
        <v>688</v>
      </c>
      <c r="L143" t="s" s="1">
        <v>860</v>
      </c>
      <c r="M143" t="n" s="5">
        <v>162.0</v>
      </c>
      <c r="N143" t="n" s="7">
        <v>44762.0</v>
      </c>
      <c r="O143" t="n" s="7">
        <v>44926.0</v>
      </c>
      <c r="P143" t="s" s="1">
        <v>3259</v>
      </c>
    </row>
    <row r="144" spans="1:16">
      <c r="A144" t="n" s="4">
        <v>140</v>
      </c>
      <c r="B144" s="2">
        <f>HYPERLINK("https://my.zakupki.prom.ua/remote/dispatcher/state_purchase_view/36852249", "UA-2022-07-29-002422-a")</f>
        <v/>
      </c>
      <c r="C144" t="s" s="2">
        <v>2890</v>
      </c>
      <c r="D144" s="2">
        <f>HYPERLINK("https://my.zakupki.prom.ua/remote/dispatcher/state_contracting_view/13729566", "UA-2022-07-29-002422-a-b1")</f>
        <v/>
      </c>
      <c r="E144" t="s" s="1">
        <v>1509</v>
      </c>
      <c r="F144" t="s" s="1">
        <v>2506</v>
      </c>
      <c r="G144" t="s" s="1">
        <v>2506</v>
      </c>
      <c r="H144" t="s" s="1">
        <v>670</v>
      </c>
      <c r="I144" t="s" s="1">
        <v>2017</v>
      </c>
      <c r="J144" t="s" s="1">
        <v>1926</v>
      </c>
      <c r="K144" t="s" s="1">
        <v>375</v>
      </c>
      <c r="L144" t="s" s="1">
        <v>938</v>
      </c>
      <c r="M144" t="n" s="5">
        <v>12700.0</v>
      </c>
      <c r="N144" t="n" s="7">
        <v>44771.0</v>
      </c>
      <c r="O144" t="n" s="7">
        <v>44926.0</v>
      </c>
      <c r="P144" t="s" s="1">
        <v>3259</v>
      </c>
    </row>
    <row r="145" spans="1:16">
      <c r="A145" t="n" s="4">
        <v>141</v>
      </c>
      <c r="B145" s="2">
        <f>HYPERLINK("https://my.zakupki.prom.ua/remote/dispatcher/state_purchase_view/36731572", "UA-2022-07-19-006654-a")</f>
        <v/>
      </c>
      <c r="C145" t="s" s="2">
        <v>2890</v>
      </c>
      <c r="D145" s="2">
        <f>HYPERLINK("https://my.zakupki.prom.ua/remote/dispatcher/state_contracting_view/13672705", "UA-2022-07-19-006654-a-b1")</f>
        <v/>
      </c>
      <c r="E145" t="s" s="1">
        <v>664</v>
      </c>
      <c r="F145" t="s" s="1">
        <v>2514</v>
      </c>
      <c r="G145" t="s" s="1">
        <v>1966</v>
      </c>
      <c r="H145" t="s" s="1">
        <v>752</v>
      </c>
      <c r="I145" t="s" s="1">
        <v>2017</v>
      </c>
      <c r="J145" t="s" s="1">
        <v>3125</v>
      </c>
      <c r="K145" t="s" s="1">
        <v>690</v>
      </c>
      <c r="L145" t="s" s="1">
        <v>757</v>
      </c>
      <c r="M145" t="n" s="5">
        <v>2820.0</v>
      </c>
      <c r="N145" t="n" s="7">
        <v>44757.0</v>
      </c>
      <c r="O145" t="n" s="7">
        <v>44926.0</v>
      </c>
      <c r="P145" t="s" s="1">
        <v>3259</v>
      </c>
    </row>
    <row r="146" spans="1:16">
      <c r="A146" t="n" s="4">
        <v>142</v>
      </c>
      <c r="B146" s="2">
        <f>HYPERLINK("https://my.zakupki.prom.ua/remote/dispatcher/state_purchase_view/36747845", "UA-2022-07-20-006373-a")</f>
        <v/>
      </c>
      <c r="C146" t="s" s="2">
        <v>2890</v>
      </c>
      <c r="D146" s="2">
        <f>HYPERLINK("https://my.zakupki.prom.ua/remote/dispatcher/state_contracting_view/13680516", "UA-2022-07-20-006373-a-b1")</f>
        <v/>
      </c>
      <c r="E146" t="s" s="1">
        <v>1016</v>
      </c>
      <c r="F146" t="s" s="1">
        <v>2598</v>
      </c>
      <c r="G146" t="s" s="1">
        <v>3011</v>
      </c>
      <c r="H146" t="s" s="1">
        <v>914</v>
      </c>
      <c r="I146" t="s" s="1">
        <v>2017</v>
      </c>
      <c r="J146" t="s" s="1">
        <v>2904</v>
      </c>
      <c r="K146" t="s" s="1">
        <v>688</v>
      </c>
      <c r="L146" t="s" s="1">
        <v>850</v>
      </c>
      <c r="M146" t="n" s="5">
        <v>771.0</v>
      </c>
      <c r="N146" t="n" s="7">
        <v>44762.0</v>
      </c>
      <c r="O146" t="n" s="7">
        <v>44926.0</v>
      </c>
      <c r="P146" t="s" s="1">
        <v>3259</v>
      </c>
    </row>
    <row r="147" spans="1:16">
      <c r="A147" t="n" s="4">
        <v>143</v>
      </c>
      <c r="B147" s="2">
        <f>HYPERLINK("https://my.zakupki.prom.ua/remote/dispatcher/state_purchase_view/36745167", "UA-2022-07-20-004958-a")</f>
        <v/>
      </c>
      <c r="C147" t="s" s="2">
        <v>2890</v>
      </c>
      <c r="D147" s="2">
        <f>HYPERLINK("https://my.zakupki.prom.ua/remote/dispatcher/state_contracting_view/13679264", "UA-2022-07-20-004958-a-b1")</f>
        <v/>
      </c>
      <c r="E147" t="s" s="1">
        <v>1802</v>
      </c>
      <c r="F147" t="s" s="1">
        <v>2619</v>
      </c>
      <c r="G147" t="s" s="1">
        <v>2826</v>
      </c>
      <c r="H147" t="s" s="1">
        <v>922</v>
      </c>
      <c r="I147" t="s" s="1">
        <v>2017</v>
      </c>
      <c r="J147" t="s" s="1">
        <v>2904</v>
      </c>
      <c r="K147" t="s" s="1">
        <v>688</v>
      </c>
      <c r="L147" t="s" s="1">
        <v>847</v>
      </c>
      <c r="M147" t="n" s="5">
        <v>210.0</v>
      </c>
      <c r="N147" t="n" s="7">
        <v>44762.0</v>
      </c>
      <c r="O147" t="n" s="7">
        <v>44926.0</v>
      </c>
      <c r="P147" t="s" s="1">
        <v>3259</v>
      </c>
    </row>
    <row r="148" spans="1:16">
      <c r="A148" t="n" s="4">
        <v>144</v>
      </c>
      <c r="B148" s="2">
        <f>HYPERLINK("https://my.zakupki.prom.ua/remote/dispatcher/state_purchase_view/33518297", "UA-2021-12-22-000778-c")</f>
        <v/>
      </c>
      <c r="C148" t="s" s="2">
        <v>2890</v>
      </c>
      <c r="D148" s="2">
        <f>HYPERLINK("https://my.zakupki.prom.ua/remote/dispatcher/state_contracting_view/12505782", "UA-2021-12-22-000778-c-a1")</f>
        <v/>
      </c>
      <c r="E148" t="s" s="1">
        <v>1460</v>
      </c>
      <c r="F148" t="s" s="1">
        <v>2790</v>
      </c>
      <c r="G148" t="s" s="1">
        <v>2790</v>
      </c>
      <c r="H148" t="s" s="1">
        <v>640</v>
      </c>
      <c r="I148" t="s" s="1">
        <v>1933</v>
      </c>
      <c r="J148" t="s" s="1">
        <v>3199</v>
      </c>
      <c r="K148" t="s" s="1">
        <v>223</v>
      </c>
      <c r="L148" t="s" s="1">
        <v>445</v>
      </c>
      <c r="M148" t="n" s="5">
        <v>308500.0</v>
      </c>
      <c r="N148" t="n" s="7">
        <v>44585.0</v>
      </c>
      <c r="O148" t="n" s="7">
        <v>44926.0</v>
      </c>
      <c r="P148" t="s" s="1">
        <v>3259</v>
      </c>
    </row>
    <row r="149" spans="1:16">
      <c r="A149" t="n" s="4">
        <v>145</v>
      </c>
      <c r="B149" s="2">
        <f>HYPERLINK("https://my.zakupki.prom.ua/remote/dispatcher/state_purchase_view/33696174", "UA-2021-12-24-006389-c")</f>
        <v/>
      </c>
      <c r="C149" t="s" s="2">
        <v>2890</v>
      </c>
      <c r="D149" s="2">
        <f>HYPERLINK("https://my.zakupki.prom.ua/remote/dispatcher/state_contracting_view/12501011", "UA-2021-12-24-006389-c-a1")</f>
        <v/>
      </c>
      <c r="E149" t="s" s="1">
        <v>1142</v>
      </c>
      <c r="F149" t="s" s="1">
        <v>2099</v>
      </c>
      <c r="G149" t="s" s="1">
        <v>2099</v>
      </c>
      <c r="H149" t="s" s="1">
        <v>642</v>
      </c>
      <c r="I149" t="s" s="1">
        <v>1933</v>
      </c>
      <c r="J149" t="s" s="1">
        <v>3086</v>
      </c>
      <c r="K149" t="s" s="1">
        <v>758</v>
      </c>
      <c r="L149" t="s" s="1">
        <v>428</v>
      </c>
      <c r="M149" t="n" s="5">
        <v>398450.0</v>
      </c>
      <c r="N149" t="n" s="7">
        <v>44585.0</v>
      </c>
      <c r="O149" t="n" s="7">
        <v>44926.0</v>
      </c>
      <c r="P149" t="s" s="1">
        <v>3259</v>
      </c>
    </row>
    <row r="150" spans="1:16">
      <c r="A150" t="n" s="4">
        <v>146</v>
      </c>
      <c r="B150" s="2">
        <f>HYPERLINK("https://my.zakupki.prom.ua/remote/dispatcher/state_purchase_view/35615994", "UA-2022-03-10-003110-a")</f>
        <v/>
      </c>
      <c r="C150" t="s" s="2">
        <v>2890</v>
      </c>
      <c r="D150" s="2">
        <f>HYPERLINK("https://my.zakupki.prom.ua/remote/dispatcher/state_contracting_view/13105530", "UA-2022-03-10-003110-a-a1")</f>
        <v/>
      </c>
      <c r="E150" t="s" s="1">
        <v>347</v>
      </c>
      <c r="F150" t="s" s="1">
        <v>2747</v>
      </c>
      <c r="G150" t="s" s="1">
        <v>2747</v>
      </c>
      <c r="H150" t="s" s="1">
        <v>1420</v>
      </c>
      <c r="I150" t="s" s="1">
        <v>2017</v>
      </c>
      <c r="J150" t="s" s="1">
        <v>1969</v>
      </c>
      <c r="K150" t="s" s="1">
        <v>317</v>
      </c>
      <c r="L150" t="s" s="1">
        <v>1206</v>
      </c>
      <c r="M150" t="n" s="5">
        <v>2058.84</v>
      </c>
      <c r="N150" t="n" s="7">
        <v>44630.0</v>
      </c>
      <c r="O150" t="n" s="7">
        <v>44926.0</v>
      </c>
      <c r="P150" t="s" s="1">
        <v>3259</v>
      </c>
    </row>
    <row r="151" spans="1:16">
      <c r="A151" t="n" s="4">
        <v>147</v>
      </c>
      <c r="B151" s="2">
        <f>HYPERLINK("https://my.zakupki.prom.ua/remote/dispatcher/state_purchase_view/35619082", "UA-2022-03-11-000225-a")</f>
        <v/>
      </c>
      <c r="C151" t="s" s="2">
        <v>2890</v>
      </c>
      <c r="D151" s="2">
        <f>HYPERLINK("https://my.zakupki.prom.ua/remote/dispatcher/state_contracting_view/13109360", "UA-2022-03-11-000225-a-a1")</f>
        <v/>
      </c>
      <c r="E151" t="s" s="1">
        <v>251</v>
      </c>
      <c r="F151" t="s" s="1">
        <v>2354</v>
      </c>
      <c r="G151" t="s" s="1">
        <v>2354</v>
      </c>
      <c r="H151" t="s" s="1">
        <v>638</v>
      </c>
      <c r="I151" t="s" s="1">
        <v>2017</v>
      </c>
      <c r="J151" t="s" s="1">
        <v>3124</v>
      </c>
      <c r="K151" t="s" s="1">
        <v>337</v>
      </c>
      <c r="L151" t="s" s="1">
        <v>212</v>
      </c>
      <c r="M151" t="n" s="5">
        <v>1300.0</v>
      </c>
      <c r="N151" t="n" s="7">
        <v>44630.0</v>
      </c>
      <c r="O151" t="n" s="7">
        <v>44926.0</v>
      </c>
      <c r="P151" t="s" s="1">
        <v>3259</v>
      </c>
    </row>
    <row r="152" spans="1:16">
      <c r="A152" t="n" s="4">
        <v>148</v>
      </c>
      <c r="B152" s="2">
        <f>HYPERLINK("https://my.zakupki.prom.ua/remote/dispatcher/state_purchase_view/35667171", "UA-2022-03-16-002746-a")</f>
        <v/>
      </c>
      <c r="C152" t="s" s="2">
        <v>2890</v>
      </c>
      <c r="D152" s="2">
        <f>HYPERLINK("https://my.zakupki.prom.ua/remote/dispatcher/state_contracting_view/13133302", "UA-2022-03-16-002746-a-a1")</f>
        <v/>
      </c>
      <c r="E152" t="s" s="1">
        <v>1045</v>
      </c>
      <c r="F152" t="s" s="1">
        <v>2737</v>
      </c>
      <c r="G152" t="s" s="1">
        <v>2737</v>
      </c>
      <c r="H152" t="s" s="1">
        <v>1333</v>
      </c>
      <c r="I152" t="s" s="1">
        <v>2017</v>
      </c>
      <c r="J152" t="s" s="1">
        <v>3164</v>
      </c>
      <c r="K152" t="s" s="1">
        <v>890</v>
      </c>
      <c r="L152" t="s" s="1">
        <v>123</v>
      </c>
      <c r="M152" t="n" s="5">
        <v>30360.0</v>
      </c>
      <c r="N152" t="n" s="7">
        <v>44636.0</v>
      </c>
      <c r="O152" t="n" s="7">
        <v>44926.0</v>
      </c>
      <c r="P152" t="s" s="1">
        <v>3259</v>
      </c>
    </row>
    <row r="153" spans="1:16">
      <c r="A153" t="n" s="4">
        <v>149</v>
      </c>
      <c r="B153" s="2">
        <f>HYPERLINK("https://my.zakupki.prom.ua/remote/dispatcher/state_purchase_view/35415054", "UA-2022-02-22-004256-b")</f>
        <v/>
      </c>
      <c r="C153" t="s" s="2">
        <v>2890</v>
      </c>
      <c r="D153" s="2">
        <f>HYPERLINK("https://my.zakupki.prom.ua/remote/dispatcher/state_contracting_view/13002699", "UA-2022-02-22-004256-b-b1")</f>
        <v/>
      </c>
      <c r="E153" t="s" s="1">
        <v>1210</v>
      </c>
      <c r="F153" t="s" s="1">
        <v>2150</v>
      </c>
      <c r="G153" t="s" s="1">
        <v>2150</v>
      </c>
      <c r="H153" t="s" s="1">
        <v>942</v>
      </c>
      <c r="I153" t="s" s="1">
        <v>2017</v>
      </c>
      <c r="J153" t="s" s="1">
        <v>3180</v>
      </c>
      <c r="K153" t="s" s="1">
        <v>819</v>
      </c>
      <c r="L153" t="s" s="1">
        <v>1417</v>
      </c>
      <c r="M153" t="n" s="5">
        <v>11567.4</v>
      </c>
      <c r="N153" t="n" s="7">
        <v>44614.0</v>
      </c>
      <c r="O153" t="n" s="7">
        <v>44926.0</v>
      </c>
      <c r="P153" t="s" s="1">
        <v>3259</v>
      </c>
    </row>
    <row r="154" spans="1:16">
      <c r="A154" t="n" s="4">
        <v>150</v>
      </c>
      <c r="B154" s="2">
        <f>HYPERLINK("https://my.zakupki.prom.ua/remote/dispatcher/state_purchase_view/34930428", "UA-2022-02-08-003211-b")</f>
        <v/>
      </c>
      <c r="C154" t="s" s="2">
        <v>2890</v>
      </c>
      <c r="D154" s="2">
        <f>HYPERLINK("https://my.zakupki.prom.ua/remote/dispatcher/state_contracting_view/12773347", "UA-2022-02-08-003211-b-b1")</f>
        <v/>
      </c>
      <c r="E154" t="s" s="1">
        <v>805</v>
      </c>
      <c r="F154" t="s" s="1">
        <v>2701</v>
      </c>
      <c r="G154" t="s" s="1">
        <v>2701</v>
      </c>
      <c r="H154" t="s" s="1">
        <v>1311</v>
      </c>
      <c r="I154" t="s" s="1">
        <v>2017</v>
      </c>
      <c r="J154" t="s" s="1">
        <v>3211</v>
      </c>
      <c r="K154" t="s" s="1">
        <v>666</v>
      </c>
      <c r="L154" t="s" s="1">
        <v>54</v>
      </c>
      <c r="M154" t="n" s="5">
        <v>12150.0</v>
      </c>
      <c r="N154" t="n" s="7">
        <v>44600.0</v>
      </c>
      <c r="O154" t="n" s="7">
        <v>44926.0</v>
      </c>
      <c r="P154" t="s" s="1">
        <v>3259</v>
      </c>
    </row>
    <row r="155" spans="1:16">
      <c r="A155" t="n" s="4">
        <v>151</v>
      </c>
      <c r="B155" s="2">
        <f>HYPERLINK("https://my.zakupki.prom.ua/remote/dispatcher/state_purchase_view/34406291", "UA-2022-01-25-005369-b")</f>
        <v/>
      </c>
      <c r="C155" t="s" s="2">
        <v>2890</v>
      </c>
      <c r="D155" s="2">
        <f>HYPERLINK("https://my.zakupki.prom.ua/remote/dispatcher/state_contracting_view/12530242", "UA-2022-01-25-005369-b-b1")</f>
        <v/>
      </c>
      <c r="E155" t="s" s="1">
        <v>1589</v>
      </c>
      <c r="F155" t="s" s="1">
        <v>2767</v>
      </c>
      <c r="G155" t="s" s="1">
        <v>2768</v>
      </c>
      <c r="H155" t="s" s="1">
        <v>1445</v>
      </c>
      <c r="I155" t="s" s="1">
        <v>2017</v>
      </c>
      <c r="J155" t="s" s="1">
        <v>3076</v>
      </c>
      <c r="K155" t="s" s="1">
        <v>398</v>
      </c>
      <c r="L155" t="s" s="1">
        <v>631</v>
      </c>
      <c r="M155" t="n" s="5">
        <v>50000.0</v>
      </c>
      <c r="N155" t="n" s="7">
        <v>44586.0</v>
      </c>
      <c r="O155" t="n" s="7">
        <v>44926.0</v>
      </c>
      <c r="P155" t="s" s="1">
        <v>3259</v>
      </c>
    </row>
    <row r="156" spans="1:16">
      <c r="A156" t="n" s="4">
        <v>152</v>
      </c>
      <c r="B156" s="2">
        <f>HYPERLINK("https://my.zakupki.prom.ua/remote/dispatcher/state_purchase_view/35279931", "UA-2022-02-17-007303-b")</f>
        <v/>
      </c>
      <c r="C156" t="s" s="2">
        <v>2890</v>
      </c>
      <c r="D156" s="2">
        <f>HYPERLINK("https://my.zakupki.prom.ua/remote/dispatcher/state_contracting_view/12938221", "UA-2022-02-17-007303-b-b1")</f>
        <v/>
      </c>
      <c r="E156" t="s" s="1">
        <v>985</v>
      </c>
      <c r="F156" t="s" s="1">
        <v>2413</v>
      </c>
      <c r="G156" t="s" s="1">
        <v>2069</v>
      </c>
      <c r="H156" t="s" s="1">
        <v>650</v>
      </c>
      <c r="I156" t="s" s="1">
        <v>2017</v>
      </c>
      <c r="J156" t="s" s="1">
        <v>3065</v>
      </c>
      <c r="K156" t="s" s="1">
        <v>398</v>
      </c>
      <c r="L156" t="s" s="1">
        <v>103</v>
      </c>
      <c r="M156" t="n" s="5">
        <v>109709.95</v>
      </c>
      <c r="N156" t="n" s="7">
        <v>44608.0</v>
      </c>
      <c r="O156" t="n" s="7">
        <v>44926.0</v>
      </c>
      <c r="P156" t="s" s="1">
        <v>3259</v>
      </c>
    </row>
    <row r="157" spans="1:16">
      <c r="A157" t="n" s="4">
        <v>153</v>
      </c>
      <c r="B157" s="2">
        <f>HYPERLINK("https://my.zakupki.prom.ua/remote/dispatcher/state_purchase_view/35298176", "UA-2022-02-17-013909-b")</f>
        <v/>
      </c>
      <c r="C157" t="s" s="2">
        <v>2890</v>
      </c>
      <c r="D157" s="2">
        <f>HYPERLINK("https://my.zakupki.prom.ua/remote/dispatcher/state_contracting_view/12946578", "UA-2022-02-17-013909-b-b1")</f>
        <v/>
      </c>
      <c r="E157" t="s" s="1">
        <v>520</v>
      </c>
      <c r="F157" t="s" s="1">
        <v>2217</v>
      </c>
      <c r="G157" t="s" s="1">
        <v>3225</v>
      </c>
      <c r="H157" t="s" s="1">
        <v>198</v>
      </c>
      <c r="I157" t="s" s="1">
        <v>2017</v>
      </c>
      <c r="J157" t="s" s="1">
        <v>2037</v>
      </c>
      <c r="K157" t="s" s="1">
        <v>151</v>
      </c>
      <c r="L157" t="s" s="1">
        <v>111</v>
      </c>
      <c r="M157" t="n" s="5">
        <v>33750.0</v>
      </c>
      <c r="N157" t="n" s="7">
        <v>44609.0</v>
      </c>
      <c r="O157" t="n" s="7">
        <v>44926.0</v>
      </c>
      <c r="P157" t="s" s="1">
        <v>3259</v>
      </c>
    </row>
    <row r="158" spans="1:16">
      <c r="A158" t="n" s="4">
        <v>154</v>
      </c>
      <c r="B158" s="2">
        <f>HYPERLINK("https://my.zakupki.prom.ua/remote/dispatcher/state_purchase_view/39621609", "UA-2022-12-22-002736-a")</f>
        <v/>
      </c>
      <c r="C158" t="s" s="2">
        <v>2890</v>
      </c>
      <c r="D158" s="2">
        <f>HYPERLINK("https://my.zakupki.prom.ua/remote/dispatcher/state_contracting_view/15052545", "UA-2022-12-22-002736-a-a1")</f>
        <v/>
      </c>
      <c r="E158" t="s" s="1">
        <v>508</v>
      </c>
      <c r="F158" t="s" s="1">
        <v>2465</v>
      </c>
      <c r="G158" t="s" s="1">
        <v>2843</v>
      </c>
      <c r="H158" t="s" s="1">
        <v>650</v>
      </c>
      <c r="I158" t="s" s="1">
        <v>2017</v>
      </c>
      <c r="J158" t="s" s="1">
        <v>3124</v>
      </c>
      <c r="K158" t="s" s="1">
        <v>337</v>
      </c>
      <c r="L158" t="s" s="1">
        <v>611</v>
      </c>
      <c r="M158" t="n" s="5">
        <v>60000.0</v>
      </c>
      <c r="N158" t="n" s="7">
        <v>44916.0</v>
      </c>
      <c r="O158" t="n" s="7">
        <v>44926.0</v>
      </c>
      <c r="P158" t="s" s="1">
        <v>3259</v>
      </c>
    </row>
    <row r="159" spans="1:16">
      <c r="A159" t="n" s="4">
        <v>155</v>
      </c>
      <c r="B159" s="2">
        <f>HYPERLINK("https://my.zakupki.prom.ua/remote/dispatcher/state_purchase_view/39656415", "UA-2022-12-22-019943-a")</f>
        <v/>
      </c>
      <c r="C159" t="s" s="2">
        <v>2890</v>
      </c>
      <c r="D159" s="2">
        <f>HYPERLINK("https://my.zakupki.prom.ua/remote/dispatcher/state_contracting_view/15069264", "UA-2022-12-22-019943-a-a1")</f>
        <v/>
      </c>
      <c r="E159" t="s" s="1">
        <v>73</v>
      </c>
      <c r="F159" t="s" s="1">
        <v>2464</v>
      </c>
      <c r="G159" t="s" s="1">
        <v>2836</v>
      </c>
      <c r="H159" t="s" s="1">
        <v>650</v>
      </c>
      <c r="I159" t="s" s="1">
        <v>2017</v>
      </c>
      <c r="J159" t="s" s="1">
        <v>3138</v>
      </c>
      <c r="K159" t="s" s="1">
        <v>720</v>
      </c>
      <c r="L159" t="s" s="1">
        <v>3187</v>
      </c>
      <c r="M159" t="n" s="5">
        <v>5000.0</v>
      </c>
      <c r="N159" t="n" s="7">
        <v>44917.0</v>
      </c>
      <c r="O159" t="n" s="7">
        <v>44926.0</v>
      </c>
      <c r="P159" t="s" s="1">
        <v>3259</v>
      </c>
    </row>
    <row r="160" spans="1:16">
      <c r="A160" t="n" s="4">
        <v>156</v>
      </c>
      <c r="B160" s="2">
        <f>HYPERLINK("https://my.zakupki.prom.ua/remote/dispatcher/state_purchase_view/39755168", "UA-2022-12-26-015872-a")</f>
        <v/>
      </c>
      <c r="C160" t="s" s="2">
        <v>2890</v>
      </c>
      <c r="D160" s="2">
        <f>HYPERLINK("https://my.zakupki.prom.ua/remote/dispatcher/state_contracting_view/15117090", "UA-2022-12-26-015872-a-c1")</f>
        <v/>
      </c>
      <c r="E160" t="s" s="1">
        <v>600</v>
      </c>
      <c r="F160" t="s" s="1">
        <v>2203</v>
      </c>
      <c r="G160" t="s" s="1">
        <v>3010</v>
      </c>
      <c r="H160" t="s" s="1">
        <v>188</v>
      </c>
      <c r="I160" t="s" s="1">
        <v>2017</v>
      </c>
      <c r="J160" t="s" s="1">
        <v>3237</v>
      </c>
      <c r="K160" t="s" s="1">
        <v>687</v>
      </c>
      <c r="L160" t="s" s="1">
        <v>1362</v>
      </c>
      <c r="M160" t="n" s="5">
        <v>2350.0</v>
      </c>
      <c r="N160" t="n" s="7">
        <v>44918.0</v>
      </c>
      <c r="O160" t="n" s="7">
        <v>44926.0</v>
      </c>
      <c r="P160" t="s" s="1">
        <v>3259</v>
      </c>
    </row>
    <row r="161" spans="1:16">
      <c r="A161" t="n" s="4">
        <v>157</v>
      </c>
      <c r="B161" s="2">
        <f>HYPERLINK("https://my.zakupki.prom.ua/remote/dispatcher/state_purchase_view/39788229", "UA-2022-12-27-011178-a")</f>
        <v/>
      </c>
      <c r="C161" t="s" s="2">
        <v>2890</v>
      </c>
      <c r="D161" s="2">
        <f>HYPERLINK("https://my.zakupki.prom.ua/remote/dispatcher/state_contracting_view/15133464", "UA-2022-12-27-011178-a-c1")</f>
        <v/>
      </c>
      <c r="E161" t="s" s="1">
        <v>1798</v>
      </c>
      <c r="F161" t="s" s="1">
        <v>2638</v>
      </c>
      <c r="G161" t="s" s="1">
        <v>3234</v>
      </c>
      <c r="H161" t="s" s="1">
        <v>933</v>
      </c>
      <c r="I161" t="s" s="1">
        <v>2017</v>
      </c>
      <c r="J161" t="s" s="1">
        <v>2904</v>
      </c>
      <c r="K161" t="s" s="1">
        <v>688</v>
      </c>
      <c r="L161" t="s" s="1">
        <v>1379</v>
      </c>
      <c r="M161" t="n" s="5">
        <v>174.0</v>
      </c>
      <c r="N161" t="n" s="7">
        <v>44922.0</v>
      </c>
      <c r="O161" t="n" s="7">
        <v>44926.0</v>
      </c>
      <c r="P161" t="s" s="1">
        <v>3259</v>
      </c>
    </row>
    <row r="162" spans="1:16">
      <c r="A162" t="n" s="4">
        <v>158</v>
      </c>
      <c r="B162" s="2">
        <f>HYPERLINK("https://my.zakupki.prom.ua/remote/dispatcher/state_purchase_view/37943598", "UA-2022-10-12-009150-a")</f>
        <v/>
      </c>
      <c r="C162" t="s" s="2">
        <v>2890</v>
      </c>
      <c r="D162" s="2">
        <f>HYPERLINK("https://my.zakupki.prom.ua/remote/dispatcher/state_contracting_view/14259314", "UA-2022-10-12-009150-a-b1")</f>
        <v/>
      </c>
      <c r="E162" t="s" s="1">
        <v>1009</v>
      </c>
      <c r="F162" t="s" s="1">
        <v>2248</v>
      </c>
      <c r="G162" t="s" s="1">
        <v>2013</v>
      </c>
      <c r="H162" t="s" s="1">
        <v>377</v>
      </c>
      <c r="I162" t="s" s="1">
        <v>2017</v>
      </c>
      <c r="J162" t="s" s="1">
        <v>1951</v>
      </c>
      <c r="K162" t="s" s="1">
        <v>560</v>
      </c>
      <c r="L162" t="s" s="1">
        <v>1119</v>
      </c>
      <c r="M162" t="n" s="5">
        <v>7457.99</v>
      </c>
      <c r="N162" t="n" s="7">
        <v>44846.0</v>
      </c>
      <c r="O162" t="n" s="7">
        <v>44926.0</v>
      </c>
      <c r="P162" t="s" s="1">
        <v>3259</v>
      </c>
    </row>
    <row r="163" spans="1:16">
      <c r="A163" t="n" s="4">
        <v>159</v>
      </c>
      <c r="B163" s="2">
        <f>HYPERLINK("https://my.zakupki.prom.ua/remote/dispatcher/state_purchase_view/38023009", "UA-2022-10-18-002957-a")</f>
        <v/>
      </c>
      <c r="C163" t="s" s="2">
        <v>2890</v>
      </c>
      <c r="D163" s="2">
        <f>HYPERLINK("https://my.zakupki.prom.ua/remote/dispatcher/state_contracting_view/14298126", "UA-2022-10-18-002957-a-b1")</f>
        <v/>
      </c>
      <c r="E163" t="s" s="1">
        <v>1761</v>
      </c>
      <c r="F163" t="s" s="1">
        <v>2477</v>
      </c>
      <c r="G163" t="s" s="1">
        <v>3034</v>
      </c>
      <c r="H163" t="s" s="1">
        <v>650</v>
      </c>
      <c r="I163" t="s" s="1">
        <v>2017</v>
      </c>
      <c r="J163" t="s" s="1">
        <v>3113</v>
      </c>
      <c r="K163" t="s" s="1">
        <v>398</v>
      </c>
      <c r="L163" t="s" s="1">
        <v>1124</v>
      </c>
      <c r="M163" t="n" s="5">
        <v>79726.0</v>
      </c>
      <c r="N163" t="n" s="7">
        <v>44851.0</v>
      </c>
      <c r="O163" t="n" s="7">
        <v>44926.0</v>
      </c>
      <c r="P163" t="s" s="1">
        <v>3259</v>
      </c>
    </row>
    <row r="164" spans="1:16">
      <c r="A164" t="n" s="4">
        <v>160</v>
      </c>
      <c r="B164" s="2">
        <f>HYPERLINK("https://my.zakupki.prom.ua/remote/dispatcher/state_purchase_view/38151500", "UA-2022-10-25-007041-a")</f>
        <v/>
      </c>
      <c r="C164" t="s" s="2">
        <v>2890</v>
      </c>
      <c r="D164" s="2">
        <f>HYPERLINK("https://my.zakupki.prom.ua/remote/dispatcher/state_contracting_view/14366849", "UA-2022-10-25-007041-a-a1")</f>
        <v/>
      </c>
      <c r="E164" t="s" s="1">
        <v>957</v>
      </c>
      <c r="F164" t="s" s="1">
        <v>2623</v>
      </c>
      <c r="G164" t="s" s="1">
        <v>3288</v>
      </c>
      <c r="H164" t="s" s="1">
        <v>931</v>
      </c>
      <c r="I164" t="s" s="1">
        <v>2017</v>
      </c>
      <c r="J164" t="s" s="1">
        <v>1927</v>
      </c>
      <c r="K164" t="s" s="1">
        <v>320</v>
      </c>
      <c r="L164" t="s" s="1">
        <v>1174</v>
      </c>
      <c r="M164" t="n" s="5">
        <v>1240.0</v>
      </c>
      <c r="N164" t="n" s="7">
        <v>44859.0</v>
      </c>
      <c r="O164" t="n" s="7">
        <v>44926.0</v>
      </c>
      <c r="P164" t="s" s="1">
        <v>3259</v>
      </c>
    </row>
    <row r="165" spans="1:16">
      <c r="A165" t="n" s="4">
        <v>161</v>
      </c>
      <c r="B165" s="2">
        <f>HYPERLINK("https://my.zakupki.prom.ua/remote/dispatcher/state_purchase_view/39157344", "UA-2022-12-08-013239-a")</f>
        <v/>
      </c>
      <c r="C165" t="s" s="2">
        <v>2890</v>
      </c>
      <c r="D165" s="2">
        <f>HYPERLINK("https://my.zakupki.prom.ua/remote/dispatcher/state_contracting_view/14832511", "UA-2022-12-08-013239-a-b1")</f>
        <v/>
      </c>
      <c r="E165" t="s" s="1">
        <v>1178</v>
      </c>
      <c r="F165" t="s" s="1">
        <v>2184</v>
      </c>
      <c r="G165" t="s" s="1">
        <v>2822</v>
      </c>
      <c r="H165" t="s" s="1">
        <v>166</v>
      </c>
      <c r="I165" t="s" s="1">
        <v>2017</v>
      </c>
      <c r="J165" t="s" s="1">
        <v>1927</v>
      </c>
      <c r="K165" t="s" s="1">
        <v>320</v>
      </c>
      <c r="L165" t="s" s="1">
        <v>1295</v>
      </c>
      <c r="M165" t="n" s="5">
        <v>260.0</v>
      </c>
      <c r="N165" t="n" s="7">
        <v>44903.0</v>
      </c>
      <c r="O165" t="n" s="7">
        <v>44926.0</v>
      </c>
      <c r="P165" t="s" s="1">
        <v>3259</v>
      </c>
    </row>
    <row r="166" spans="1:16">
      <c r="A166" t="n" s="4">
        <v>162</v>
      </c>
      <c r="B166" s="2">
        <f>HYPERLINK("https://my.zakupki.prom.ua/remote/dispatcher/state_purchase_view/37420791", "UA-2022-09-08-008180-a")</f>
        <v/>
      </c>
      <c r="C166" t="s" s="2">
        <v>2890</v>
      </c>
      <c r="D166" s="2">
        <f>HYPERLINK("https://my.zakupki.prom.ua/remote/dispatcher/state_contracting_view/14002721", "UA-2022-09-08-008180-a-b1")</f>
        <v/>
      </c>
      <c r="E166" t="s" s="1">
        <v>1733</v>
      </c>
      <c r="F166" t="s" s="1">
        <v>2231</v>
      </c>
      <c r="G166" t="s" s="1">
        <v>3147</v>
      </c>
      <c r="H166" t="s" s="1">
        <v>273</v>
      </c>
      <c r="I166" t="s" s="1">
        <v>2017</v>
      </c>
      <c r="J166" t="s" s="1">
        <v>1951</v>
      </c>
      <c r="K166" t="s" s="1">
        <v>560</v>
      </c>
      <c r="L166" t="s" s="1">
        <v>1048</v>
      </c>
      <c r="M166" t="n" s="5">
        <v>550.0</v>
      </c>
      <c r="N166" t="n" s="7">
        <v>44812.0</v>
      </c>
      <c r="O166" t="n" s="7">
        <v>44926.0</v>
      </c>
      <c r="P166" t="s" s="1">
        <v>3259</v>
      </c>
    </row>
    <row r="167" spans="1:16">
      <c r="A167" t="n" s="4">
        <v>163</v>
      </c>
      <c r="B167" s="2">
        <f>HYPERLINK("https://my.zakupki.prom.ua/remote/dispatcher/state_purchase_view/37411255", "UA-2022-09-08-003292-a")</f>
        <v/>
      </c>
      <c r="C167" t="s" s="2">
        <v>2890</v>
      </c>
      <c r="D167" s="2">
        <f>HYPERLINK("https://my.zakupki.prom.ua/remote/dispatcher/state_contracting_view/13998372", "UA-2022-09-08-003292-a-b1")</f>
        <v/>
      </c>
      <c r="E167" t="s" s="1">
        <v>1840</v>
      </c>
      <c r="F167" t="s" s="1">
        <v>2233</v>
      </c>
      <c r="G167" t="s" s="1">
        <v>2012</v>
      </c>
      <c r="H167" t="s" s="1">
        <v>362</v>
      </c>
      <c r="I167" t="s" s="1">
        <v>2017</v>
      </c>
      <c r="J167" t="s" s="1">
        <v>3143</v>
      </c>
      <c r="K167" t="s" s="1">
        <v>929</v>
      </c>
      <c r="L167" t="s" s="1">
        <v>2991</v>
      </c>
      <c r="M167" t="n" s="5">
        <v>20730.0</v>
      </c>
      <c r="N167" t="n" s="7">
        <v>44812.0</v>
      </c>
      <c r="O167" t="n" s="7">
        <v>44926.0</v>
      </c>
      <c r="P167" t="s" s="1">
        <v>3259</v>
      </c>
    </row>
    <row r="168" spans="1:16">
      <c r="A168" t="n" s="4">
        <v>164</v>
      </c>
      <c r="B168" s="2">
        <f>HYPERLINK("https://my.zakupki.prom.ua/remote/dispatcher/state_purchase_view/37421111", "UA-2022-09-08-008319-a")</f>
        <v/>
      </c>
      <c r="C168" t="s" s="2">
        <v>2890</v>
      </c>
      <c r="D168" s="2">
        <f>HYPERLINK("https://my.zakupki.prom.ua/remote/dispatcher/state_contracting_view/14003055", "UA-2022-09-08-008319-a-b1")</f>
        <v/>
      </c>
      <c r="E168" t="s" s="1">
        <v>483</v>
      </c>
      <c r="F168" t="s" s="1">
        <v>2582</v>
      </c>
      <c r="G168" t="s" s="1">
        <v>2988</v>
      </c>
      <c r="H168" t="s" s="1">
        <v>903</v>
      </c>
      <c r="I168" t="s" s="1">
        <v>2017</v>
      </c>
      <c r="J168" t="s" s="1">
        <v>1951</v>
      </c>
      <c r="K168" t="s" s="1">
        <v>560</v>
      </c>
      <c r="L168" t="s" s="1">
        <v>1049</v>
      </c>
      <c r="M168" t="n" s="5">
        <v>4532.0</v>
      </c>
      <c r="N168" t="n" s="7">
        <v>44812.0</v>
      </c>
      <c r="O168" t="n" s="7">
        <v>44926.0</v>
      </c>
      <c r="P168" t="s" s="1">
        <v>3259</v>
      </c>
    </row>
    <row r="169" spans="1:16">
      <c r="A169" t="n" s="4">
        <v>165</v>
      </c>
      <c r="B169" s="2">
        <f>HYPERLINK("https://my.zakupki.prom.ua/remote/dispatcher/state_purchase_view/37561809", "UA-2022-09-19-000276-a")</f>
        <v/>
      </c>
      <c r="C169" t="s" s="2">
        <v>2890</v>
      </c>
      <c r="D169" s="2">
        <f>HYPERLINK("https://my.zakupki.prom.ua/remote/dispatcher/state_contracting_view/14071420", "UA-2022-09-19-000276-a-c1")</f>
        <v/>
      </c>
      <c r="E169" t="s" s="1">
        <v>1449</v>
      </c>
      <c r="F169" t="s" s="1">
        <v>2779</v>
      </c>
      <c r="G169" t="s" s="1">
        <v>2779</v>
      </c>
      <c r="H169" t="s" s="1">
        <v>1486</v>
      </c>
      <c r="I169" t="s" s="1">
        <v>2017</v>
      </c>
      <c r="J169" t="s" s="1">
        <v>2029</v>
      </c>
      <c r="K169" t="s" s="1">
        <v>473</v>
      </c>
      <c r="L169" t="s" s="1">
        <v>1059</v>
      </c>
      <c r="M169" t="n" s="5">
        <v>14750.0</v>
      </c>
      <c r="N169" t="n" s="7">
        <v>44823.0</v>
      </c>
      <c r="O169" t="n" s="7">
        <v>44926.0</v>
      </c>
      <c r="P169" t="s" s="1">
        <v>3259</v>
      </c>
    </row>
    <row r="170" spans="1:16">
      <c r="A170" t="n" s="4">
        <v>166</v>
      </c>
      <c r="B170" s="2">
        <f>HYPERLINK("https://my.zakupki.prom.ua/remote/dispatcher/state_purchase_view/37640536", "UA-2022-09-22-005009-a")</f>
        <v/>
      </c>
      <c r="C170" t="s" s="2">
        <v>2890</v>
      </c>
      <c r="D170" s="2">
        <f>HYPERLINK("https://my.zakupki.prom.ua/remote/dispatcher/state_contracting_view/14110290", "UA-2022-09-22-005009-a-b1")</f>
        <v/>
      </c>
      <c r="E170" t="s" s="1">
        <v>1749</v>
      </c>
      <c r="F170" t="s" s="1">
        <v>2482</v>
      </c>
      <c r="G170" t="s" s="1">
        <v>3218</v>
      </c>
      <c r="H170" t="s" s="1">
        <v>650</v>
      </c>
      <c r="I170" t="s" s="1">
        <v>2017</v>
      </c>
      <c r="J170" t="s" s="1">
        <v>3102</v>
      </c>
      <c r="K170" t="s" s="1">
        <v>861</v>
      </c>
      <c r="L170" t="s" s="1">
        <v>1062</v>
      </c>
      <c r="M170" t="n" s="5">
        <v>37730.0</v>
      </c>
      <c r="N170" t="n" s="7">
        <v>44826.0</v>
      </c>
      <c r="O170" t="n" s="7">
        <v>44926.0</v>
      </c>
      <c r="P170" t="s" s="1">
        <v>3259</v>
      </c>
    </row>
    <row r="171" spans="1:16">
      <c r="A171" t="n" s="4">
        <v>167</v>
      </c>
      <c r="B171" s="2">
        <f>HYPERLINK("https://my.zakupki.prom.ua/remote/dispatcher/state_purchase_view/37668140", "UA-2022-09-23-006892-a")</f>
        <v/>
      </c>
      <c r="C171" t="s" s="2">
        <v>2890</v>
      </c>
      <c r="D171" s="2">
        <f>HYPERLINK("https://my.zakupki.prom.ua/remote/dispatcher/state_contracting_view/14123867", "UA-2022-09-23-006892-a-a1")</f>
        <v/>
      </c>
      <c r="E171" t="s" s="1">
        <v>1132</v>
      </c>
      <c r="F171" t="s" s="1">
        <v>2462</v>
      </c>
      <c r="G171" t="s" s="1">
        <v>2049</v>
      </c>
      <c r="H171" t="s" s="1">
        <v>650</v>
      </c>
      <c r="I171" t="s" s="1">
        <v>2017</v>
      </c>
      <c r="J171" t="s" s="1">
        <v>3113</v>
      </c>
      <c r="K171" t="s" s="1">
        <v>398</v>
      </c>
      <c r="L171" t="s" s="1">
        <v>1063</v>
      </c>
      <c r="M171" t="n" s="5">
        <v>5700.0</v>
      </c>
      <c r="N171" t="n" s="7">
        <v>44826.0</v>
      </c>
      <c r="O171" t="n" s="7">
        <v>44926.0</v>
      </c>
      <c r="P171" t="s" s="1">
        <v>3259</v>
      </c>
    </row>
    <row r="172" spans="1:16">
      <c r="A172" t="n" s="4">
        <v>168</v>
      </c>
      <c r="B172" s="2">
        <f>HYPERLINK("https://my.zakupki.prom.ua/remote/dispatcher/state_purchase_view/37715634", "UA-2022-09-27-008017-a")</f>
        <v/>
      </c>
      <c r="C172" t="s" s="2">
        <v>2890</v>
      </c>
      <c r="D172" s="2">
        <f>HYPERLINK("https://my.zakupki.prom.ua/remote/dispatcher/state_contracting_view/14147901", "UA-2022-09-27-008017-a-c1")</f>
        <v/>
      </c>
      <c r="E172" t="s" s="1">
        <v>1242</v>
      </c>
      <c r="F172" t="s" s="1">
        <v>2183</v>
      </c>
      <c r="G172" t="s" s="1">
        <v>2823</v>
      </c>
      <c r="H172" t="s" s="1">
        <v>166</v>
      </c>
      <c r="I172" t="s" s="1">
        <v>2017</v>
      </c>
      <c r="J172" t="s" s="1">
        <v>1927</v>
      </c>
      <c r="K172" t="s" s="1">
        <v>320</v>
      </c>
      <c r="L172" t="s" s="1">
        <v>1079</v>
      </c>
      <c r="M172" t="n" s="5">
        <v>310.0</v>
      </c>
      <c r="N172" t="n" s="7">
        <v>44831.0</v>
      </c>
      <c r="O172" t="n" s="7">
        <v>44926.0</v>
      </c>
      <c r="P172" t="s" s="1">
        <v>3259</v>
      </c>
    </row>
    <row r="173" spans="1:16">
      <c r="A173" t="n" s="4">
        <v>169</v>
      </c>
      <c r="B173" s="2">
        <f>HYPERLINK("https://my.zakupki.prom.ua/remote/dispatcher/state_purchase_view/36715127", "UA-2022-07-18-006664-a")</f>
        <v/>
      </c>
      <c r="C173" t="s" s="2">
        <v>2890</v>
      </c>
      <c r="D173" s="2">
        <f>HYPERLINK("https://my.zakupki.prom.ua/remote/dispatcher/state_contracting_view/13665362", "UA-2022-07-18-006664-a-b1")</f>
        <v/>
      </c>
      <c r="E173" t="s" s="1">
        <v>1411</v>
      </c>
      <c r="F173" t="s" s="1">
        <v>2221</v>
      </c>
      <c r="G173" t="s" s="1">
        <v>2900</v>
      </c>
      <c r="H173" t="s" s="1">
        <v>206</v>
      </c>
      <c r="I173" t="s" s="1">
        <v>2017</v>
      </c>
      <c r="J173" t="s" s="1">
        <v>1927</v>
      </c>
      <c r="K173" t="s" s="1">
        <v>320</v>
      </c>
      <c r="L173" t="s" s="1">
        <v>783</v>
      </c>
      <c r="M173" t="n" s="5">
        <v>266.0</v>
      </c>
      <c r="N173" t="n" s="7">
        <v>44760.0</v>
      </c>
      <c r="O173" t="n" s="7">
        <v>44926.0</v>
      </c>
      <c r="P173" t="s" s="1">
        <v>3259</v>
      </c>
    </row>
    <row r="174" spans="1:16">
      <c r="A174" t="n" s="4">
        <v>170</v>
      </c>
      <c r="B174" s="2">
        <f>HYPERLINK("https://my.zakupki.prom.ua/remote/dispatcher/state_purchase_view/36716240", "UA-2022-07-18-007213-a")</f>
        <v/>
      </c>
      <c r="C174" t="s" s="2">
        <v>2890</v>
      </c>
      <c r="D174" s="2">
        <f>HYPERLINK("https://my.zakupki.prom.ua/remote/dispatcher/state_contracting_view/13665763", "UA-2022-07-18-007213-a-b1")</f>
        <v/>
      </c>
      <c r="E174" t="s" s="1">
        <v>1007</v>
      </c>
      <c r="F174" t="s" s="1">
        <v>2567</v>
      </c>
      <c r="G174" t="s" s="1">
        <v>2995</v>
      </c>
      <c r="H174" t="s" s="1">
        <v>900</v>
      </c>
      <c r="I174" t="s" s="1">
        <v>2017</v>
      </c>
      <c r="J174" t="s" s="1">
        <v>1927</v>
      </c>
      <c r="K174" t="s" s="1">
        <v>320</v>
      </c>
      <c r="L174" t="s" s="1">
        <v>791</v>
      </c>
      <c r="M174" t="n" s="5">
        <v>1199.0</v>
      </c>
      <c r="N174" t="n" s="7">
        <v>44760.0</v>
      </c>
      <c r="O174" t="n" s="7">
        <v>44926.0</v>
      </c>
      <c r="P174" t="s" s="1">
        <v>3259</v>
      </c>
    </row>
    <row r="175" spans="1:16">
      <c r="A175" t="n" s="4">
        <v>171</v>
      </c>
      <c r="B175" s="2">
        <f>HYPERLINK("https://my.zakupki.prom.ua/remote/dispatcher/state_purchase_view/36707420", "UA-2022-07-18-002656-a")</f>
        <v/>
      </c>
      <c r="C175" t="s" s="2">
        <v>2890</v>
      </c>
      <c r="D175" s="2">
        <f>HYPERLINK("https://my.zakupki.prom.ua/remote/dispatcher/state_contracting_view/13661850", "UA-2022-07-18-002656-a-b1")</f>
        <v/>
      </c>
      <c r="E175" t="s" s="1">
        <v>1430</v>
      </c>
      <c r="F175" t="s" s="1">
        <v>2604</v>
      </c>
      <c r="G175" t="s" s="1">
        <v>2604</v>
      </c>
      <c r="H175" t="s" s="1">
        <v>919</v>
      </c>
      <c r="I175" t="s" s="1">
        <v>2017</v>
      </c>
      <c r="J175" t="s" s="1">
        <v>2904</v>
      </c>
      <c r="K175" t="s" s="1">
        <v>688</v>
      </c>
      <c r="L175" t="s" s="1">
        <v>762</v>
      </c>
      <c r="M175" t="n" s="5">
        <v>42.0</v>
      </c>
      <c r="N175" t="n" s="7">
        <v>44760.0</v>
      </c>
      <c r="O175" t="n" s="7">
        <v>44926.0</v>
      </c>
      <c r="P175" t="s" s="1">
        <v>3259</v>
      </c>
    </row>
    <row r="176" spans="1:16">
      <c r="A176" t="n" s="4">
        <v>172</v>
      </c>
      <c r="B176" s="2">
        <f>HYPERLINK("https://my.zakupki.prom.ua/remote/dispatcher/state_purchase_view/36914768", "UA-2022-08-03-008047-a")</f>
        <v/>
      </c>
      <c r="C176" t="s" s="2">
        <v>2890</v>
      </c>
      <c r="D176" s="2">
        <f>HYPERLINK("https://my.zakupki.prom.ua/remote/dispatcher/state_contracting_view/13759258", "UA-2022-08-03-008047-a-b1")</f>
        <v/>
      </c>
      <c r="E176" t="s" s="1">
        <v>1815</v>
      </c>
      <c r="F176" t="s" s="1">
        <v>2755</v>
      </c>
      <c r="G176" t="s" s="1">
        <v>2755</v>
      </c>
      <c r="H176" t="s" s="1">
        <v>1443</v>
      </c>
      <c r="I176" t="s" s="1">
        <v>2017</v>
      </c>
      <c r="J176" t="s" s="1">
        <v>2036</v>
      </c>
      <c r="K176" t="s" s="1">
        <v>266</v>
      </c>
      <c r="L176" t="s" s="1">
        <v>955</v>
      </c>
      <c r="M176" t="n" s="5">
        <v>12612.0</v>
      </c>
      <c r="N176" t="n" s="7">
        <v>44774.0</v>
      </c>
      <c r="O176" t="n" s="7">
        <v>44926.0</v>
      </c>
      <c r="P176" t="s" s="1">
        <v>3259</v>
      </c>
    </row>
    <row r="177" spans="1:16">
      <c r="A177" t="n" s="4">
        <v>173</v>
      </c>
      <c r="B177" s="2">
        <f>HYPERLINK("https://my.zakupki.prom.ua/remote/dispatcher/state_purchase_view/37025047", "UA-2022-08-11-004352-a")</f>
        <v/>
      </c>
      <c r="C177" t="s" s="2">
        <v>2890</v>
      </c>
      <c r="D177" s="2">
        <f>HYPERLINK("https://my.zakupki.prom.ua/remote/dispatcher/state_contracting_view/13811214", "UA-2022-08-11-004352-a-b1")</f>
        <v/>
      </c>
      <c r="E177" t="s" s="1">
        <v>1658</v>
      </c>
      <c r="F177" t="s" s="1">
        <v>2197</v>
      </c>
      <c r="G177" t="s" s="1">
        <v>2197</v>
      </c>
      <c r="H177" t="s" s="1">
        <v>185</v>
      </c>
      <c r="I177" t="s" s="1">
        <v>2017</v>
      </c>
      <c r="J177" t="s" s="1">
        <v>3237</v>
      </c>
      <c r="K177" t="s" s="1">
        <v>687</v>
      </c>
      <c r="L177" t="s" s="1">
        <v>978</v>
      </c>
      <c r="M177" t="n" s="5">
        <v>49600.0</v>
      </c>
      <c r="N177" t="n" s="7">
        <v>44782.0</v>
      </c>
      <c r="O177" t="n" s="7">
        <v>44926.0</v>
      </c>
      <c r="P177" t="s" s="1">
        <v>3259</v>
      </c>
    </row>
    <row r="178" spans="1:16">
      <c r="A178" t="n" s="4">
        <v>174</v>
      </c>
      <c r="B178" s="2">
        <f>HYPERLINK("https://my.zakupki.prom.ua/remote/dispatcher/state_purchase_view/37064878", "UA-2022-08-15-003414-a")</f>
        <v/>
      </c>
      <c r="C178" t="s" s="2">
        <v>2890</v>
      </c>
      <c r="D178" s="2">
        <f>HYPERLINK("https://my.zakupki.prom.ua/remote/dispatcher/state_contracting_view/13830589", "UA-2022-08-15-003414-a-b1")</f>
        <v/>
      </c>
      <c r="E178" t="s" s="1">
        <v>1725</v>
      </c>
      <c r="F178" t="s" s="1">
        <v>2481</v>
      </c>
      <c r="G178" t="s" s="1">
        <v>3217</v>
      </c>
      <c r="H178" t="s" s="1">
        <v>650</v>
      </c>
      <c r="I178" t="s" s="1">
        <v>2017</v>
      </c>
      <c r="J178" t="s" s="1">
        <v>3102</v>
      </c>
      <c r="K178" t="s" s="1">
        <v>861</v>
      </c>
      <c r="L178" t="s" s="1">
        <v>983</v>
      </c>
      <c r="M178" t="n" s="5">
        <v>17589.0</v>
      </c>
      <c r="N178" t="n" s="7">
        <v>44785.0</v>
      </c>
      <c r="O178" t="n" s="7">
        <v>44926.0</v>
      </c>
      <c r="P178" t="s" s="1">
        <v>3259</v>
      </c>
    </row>
    <row r="179" spans="1:16">
      <c r="A179" t="n" s="4">
        <v>175</v>
      </c>
      <c r="B179" s="2">
        <f>HYPERLINK("https://my.zakupki.prom.ua/remote/dispatcher/state_purchase_view/32791117", "UA-2021-12-08-017338-c")</f>
        <v/>
      </c>
      <c r="C179" t="s" s="2">
        <v>2890</v>
      </c>
      <c r="D179" s="2">
        <f>HYPERLINK("https://my.zakupki.prom.ua/remote/dispatcher/state_contracting_view/12436009", "UA-2021-12-08-017338-c-c1")</f>
        <v/>
      </c>
      <c r="E179" t="s" s="1">
        <v>81</v>
      </c>
      <c r="F179" t="s" s="1">
        <v>2789</v>
      </c>
      <c r="G179" t="s" s="1">
        <v>2789</v>
      </c>
      <c r="H179" t="s" s="1">
        <v>640</v>
      </c>
      <c r="I179" t="s" s="1">
        <v>1933</v>
      </c>
      <c r="J179" t="s" s="1">
        <v>3199</v>
      </c>
      <c r="K179" t="s" s="1">
        <v>223</v>
      </c>
      <c r="L179" t="s" s="1">
        <v>239</v>
      </c>
      <c r="M179" t="n" s="5">
        <v>407000.0</v>
      </c>
      <c r="N179" t="n" s="7">
        <v>44580.0</v>
      </c>
      <c r="O179" t="n" s="7">
        <v>44926.0</v>
      </c>
      <c r="P179" t="s" s="1">
        <v>3259</v>
      </c>
    </row>
    <row r="180" spans="1:16">
      <c r="A180" t="n" s="4">
        <v>176</v>
      </c>
      <c r="B180" s="2">
        <f>HYPERLINK("https://my.zakupki.prom.ua/remote/dispatcher/state_purchase_view/35301216", "UA-2022-02-17-014954-b")</f>
        <v/>
      </c>
      <c r="C180" t="s" s="2">
        <v>2890</v>
      </c>
      <c r="D180" s="2">
        <f>HYPERLINK("https://my.zakupki.prom.ua/remote/dispatcher/state_contracting_view/12956265", "UA-2022-02-17-014954-b-b1")</f>
        <v/>
      </c>
      <c r="E180" t="s" s="1">
        <v>1653</v>
      </c>
      <c r="F180" t="s" s="1">
        <v>2539</v>
      </c>
      <c r="G180" t="s" s="1">
        <v>2539</v>
      </c>
      <c r="H180" t="s" s="1">
        <v>784</v>
      </c>
      <c r="I180" t="s" s="1">
        <v>2017</v>
      </c>
      <c r="J180" t="s" s="1">
        <v>3145</v>
      </c>
      <c r="K180" t="s" s="1">
        <v>495</v>
      </c>
      <c r="L180" t="s" s="1">
        <v>3047</v>
      </c>
      <c r="M180" t="n" s="5">
        <v>2662.0</v>
      </c>
      <c r="N180" t="n" s="7">
        <v>44609.0</v>
      </c>
      <c r="O180" t="n" s="7">
        <v>44926.0</v>
      </c>
      <c r="P180" t="s" s="1">
        <v>3259</v>
      </c>
    </row>
    <row r="181" spans="1:16">
      <c r="A181" t="n" s="4">
        <v>177</v>
      </c>
      <c r="B181" s="2">
        <f>HYPERLINK("https://my.zakupki.prom.ua/remote/dispatcher/state_purchase_view/35546306", "UA-2022-03-02-000025-a")</f>
        <v/>
      </c>
      <c r="C181" t="s" s="2">
        <v>2890</v>
      </c>
      <c r="D181" s="2">
        <f>HYPERLINK("https://my.zakupki.prom.ua/remote/dispatcher/state_contracting_view/13067991", "UA-2022-03-02-000025-a-a1")</f>
        <v/>
      </c>
      <c r="E181" t="s" s="1">
        <v>1795</v>
      </c>
      <c r="F181" t="s" s="1">
        <v>2432</v>
      </c>
      <c r="G181" t="s" s="1">
        <v>3215</v>
      </c>
      <c r="H181" t="s" s="1">
        <v>650</v>
      </c>
      <c r="I181" t="s" s="1">
        <v>2017</v>
      </c>
      <c r="J181" t="s" s="1">
        <v>3064</v>
      </c>
      <c r="K181" t="s" s="1">
        <v>398</v>
      </c>
      <c r="L181" t="s" s="1">
        <v>135</v>
      </c>
      <c r="M181" t="n" s="5">
        <v>121333.3</v>
      </c>
      <c r="N181" t="n" s="7">
        <v>44621.0</v>
      </c>
      <c r="O181" t="n" s="7">
        <v>44926.0</v>
      </c>
      <c r="P181" t="s" s="1">
        <v>3259</v>
      </c>
    </row>
    <row r="182" spans="1:16">
      <c r="A182" t="n" s="4">
        <v>178</v>
      </c>
      <c r="B182" s="2">
        <f>HYPERLINK("https://my.zakupki.prom.ua/remote/dispatcher/state_purchase_view/34806023", "UA-2022-02-03-010267-b")</f>
        <v/>
      </c>
      <c r="C182" t="s" s="2">
        <v>2890</v>
      </c>
      <c r="D182" s="2">
        <f>HYPERLINK("https://my.zakupki.prom.ua/remote/dispatcher/state_contracting_view/13110788", "UA-2022-02-03-010267-b-b1")</f>
        <v/>
      </c>
      <c r="E182" t="s" s="1">
        <v>1611</v>
      </c>
      <c r="F182" t="s" s="1">
        <v>2097</v>
      </c>
      <c r="G182" t="s" s="1">
        <v>2097</v>
      </c>
      <c r="H182" t="s" s="1">
        <v>640</v>
      </c>
      <c r="I182" t="s" s="1">
        <v>1933</v>
      </c>
      <c r="J182" t="s" s="1">
        <v>3086</v>
      </c>
      <c r="K182" t="s" s="1">
        <v>758</v>
      </c>
      <c r="L182" t="s" s="1">
        <v>193</v>
      </c>
      <c r="M182" t="n" s="5">
        <v>594000.0</v>
      </c>
      <c r="N182" t="n" s="7">
        <v>44631.0</v>
      </c>
      <c r="O182" t="n" s="7">
        <v>44926.0</v>
      </c>
      <c r="P182" t="s" s="1">
        <v>3259</v>
      </c>
    </row>
    <row r="183" spans="1:16">
      <c r="A183" t="n" s="4">
        <v>179</v>
      </c>
      <c r="B183" s="2">
        <f>HYPERLINK("https://my.zakupki.prom.ua/remote/dispatcher/state_purchase_view/35704615", "UA-2022-03-21-002575-a")</f>
        <v/>
      </c>
      <c r="C183" t="s" s="2">
        <v>2890</v>
      </c>
      <c r="D183" s="2">
        <f>HYPERLINK("https://my.zakupki.prom.ua/remote/dispatcher/state_contracting_view/13153654", "UA-2022-03-21-002575-a-a1")</f>
        <v/>
      </c>
      <c r="E183" t="s" s="1">
        <v>1351</v>
      </c>
      <c r="F183" t="s" s="1">
        <v>2213</v>
      </c>
      <c r="G183" t="s" s="1">
        <v>2213</v>
      </c>
      <c r="H183" t="s" s="1">
        <v>197</v>
      </c>
      <c r="I183" t="s" s="1">
        <v>2017</v>
      </c>
      <c r="J183" t="s" s="1">
        <v>3237</v>
      </c>
      <c r="K183" t="s" s="1">
        <v>687</v>
      </c>
      <c r="L183" t="s" s="1">
        <v>230</v>
      </c>
      <c r="M183" t="n" s="5">
        <v>1473.2</v>
      </c>
      <c r="N183" t="n" s="7">
        <v>44641.0</v>
      </c>
      <c r="O183" t="n" s="7">
        <v>44926.0</v>
      </c>
      <c r="P183" t="s" s="1">
        <v>3259</v>
      </c>
    </row>
    <row r="184" spans="1:16">
      <c r="A184" t="n" s="4">
        <v>180</v>
      </c>
      <c r="B184" s="2">
        <f>HYPERLINK("https://my.zakupki.prom.ua/remote/dispatcher/state_purchase_view/35615758", "UA-2022-03-10-003046-a")</f>
        <v/>
      </c>
      <c r="C184" t="s" s="2">
        <v>2890</v>
      </c>
      <c r="D184" s="2">
        <f>HYPERLINK("https://my.zakupki.prom.ua/remote/dispatcher/state_contracting_view/13105353", "UA-2022-03-10-003046-a-a1")</f>
        <v/>
      </c>
      <c r="E184" t="s" s="1">
        <v>42</v>
      </c>
      <c r="F184" t="s" s="1">
        <v>2353</v>
      </c>
      <c r="G184" t="s" s="1">
        <v>2353</v>
      </c>
      <c r="H184" t="s" s="1">
        <v>638</v>
      </c>
      <c r="I184" t="s" s="1">
        <v>2017</v>
      </c>
      <c r="J184" t="s" s="1">
        <v>3067</v>
      </c>
      <c r="K184" t="s" s="1">
        <v>398</v>
      </c>
      <c r="L184" t="s" s="1">
        <v>155</v>
      </c>
      <c r="M184" t="n" s="5">
        <v>1270.0</v>
      </c>
      <c r="N184" t="n" s="7">
        <v>44630.0</v>
      </c>
      <c r="O184" t="n" s="7">
        <v>44926.0</v>
      </c>
      <c r="P184" t="s" s="1">
        <v>3259</v>
      </c>
    </row>
    <row r="185" spans="1:16">
      <c r="A185" t="n" s="4">
        <v>181</v>
      </c>
      <c r="B185" s="2">
        <f>HYPERLINK("https://my.zakupki.prom.ua/remote/dispatcher/state_purchase_view/35733186", "UA-2022-03-23-003361-b")</f>
        <v/>
      </c>
      <c r="C185" t="s" s="2">
        <v>2890</v>
      </c>
      <c r="D185" s="2">
        <f>HYPERLINK("https://my.zakupki.prom.ua/remote/dispatcher/state_contracting_view/13168211", "UA-2022-03-23-003361-b-b1")</f>
        <v/>
      </c>
      <c r="E185" t="s" s="1">
        <v>1592</v>
      </c>
      <c r="F185" t="s" s="1">
        <v>2257</v>
      </c>
      <c r="G185" t="s" s="1">
        <v>2257</v>
      </c>
      <c r="H185" t="s" s="1">
        <v>406</v>
      </c>
      <c r="I185" t="s" s="1">
        <v>2017</v>
      </c>
      <c r="J185" t="s" s="1">
        <v>1878</v>
      </c>
      <c r="K185" t="s" s="1">
        <v>45</v>
      </c>
      <c r="L185" t="s" s="1">
        <v>234</v>
      </c>
      <c r="M185" t="n" s="5">
        <v>299968.0</v>
      </c>
      <c r="N185" t="n" s="7">
        <v>44641.0</v>
      </c>
      <c r="O185" t="n" s="7">
        <v>44926.0</v>
      </c>
      <c r="P185" t="s" s="1">
        <v>3259</v>
      </c>
    </row>
    <row r="186" spans="1:16">
      <c r="A186" t="n" s="4">
        <v>182</v>
      </c>
      <c r="B186" s="2">
        <f>HYPERLINK("https://my.zakupki.prom.ua/remote/dispatcher/state_purchase_view/35220323", "UA-2022-02-16-002131-b")</f>
        <v/>
      </c>
      <c r="C186" t="s" s="2">
        <v>2890</v>
      </c>
      <c r="D186" s="2">
        <f>HYPERLINK("https://my.zakupki.prom.ua/remote/dispatcher/state_contracting_view/12914834", "UA-2022-02-16-002131-b-b1")</f>
        <v/>
      </c>
      <c r="E186" t="s" s="1">
        <v>58</v>
      </c>
      <c r="F186" t="s" s="1">
        <v>2402</v>
      </c>
      <c r="G186" t="s" s="1">
        <v>1892</v>
      </c>
      <c r="H186" t="s" s="1">
        <v>650</v>
      </c>
      <c r="I186" t="s" s="1">
        <v>2017</v>
      </c>
      <c r="J186" t="s" s="1">
        <v>3058</v>
      </c>
      <c r="K186" t="s" s="1">
        <v>924</v>
      </c>
      <c r="L186" t="s" s="1">
        <v>101</v>
      </c>
      <c r="M186" t="n" s="5">
        <v>62346.49</v>
      </c>
      <c r="N186" t="n" s="7">
        <v>44607.0</v>
      </c>
      <c r="O186" t="n" s="7">
        <v>44926.0</v>
      </c>
      <c r="P186" t="s" s="1">
        <v>3259</v>
      </c>
    </row>
    <row r="187" spans="1:16">
      <c r="A187" t="n" s="4">
        <v>183</v>
      </c>
      <c r="B187" s="2">
        <f>HYPERLINK("https://my.zakupki.prom.ua/remote/dispatcher/state_purchase_view/35225717", "UA-2022-02-16-003677-b")</f>
        <v/>
      </c>
      <c r="C187" t="s" s="2">
        <v>2890</v>
      </c>
      <c r="D187" s="2">
        <f>HYPERLINK("https://my.zakupki.prom.ua/remote/dispatcher/state_contracting_view/12914718", "UA-2022-02-16-003677-b-b1")</f>
        <v/>
      </c>
      <c r="E187" t="s" s="1">
        <v>77</v>
      </c>
      <c r="F187" t="s" s="1">
        <v>2187</v>
      </c>
      <c r="G187" t="s" s="1">
        <v>3269</v>
      </c>
      <c r="H187" t="s" s="1">
        <v>176</v>
      </c>
      <c r="I187" t="s" s="1">
        <v>2017</v>
      </c>
      <c r="J187" t="s" s="1">
        <v>2985</v>
      </c>
      <c r="K187" t="s" s="1">
        <v>563</v>
      </c>
      <c r="L187" t="s" s="1">
        <v>102</v>
      </c>
      <c r="M187" t="n" s="5">
        <v>49990.0</v>
      </c>
      <c r="N187" t="n" s="7">
        <v>44607.0</v>
      </c>
      <c r="O187" t="n" s="7">
        <v>44926.0</v>
      </c>
      <c r="P187" t="s" s="1">
        <v>3259</v>
      </c>
    </row>
    <row r="188" spans="1:16">
      <c r="A188" t="n" s="4">
        <v>184</v>
      </c>
      <c r="B188" s="2">
        <f>HYPERLINK("https://my.zakupki.prom.ua/remote/dispatcher/state_purchase_view/35251380", "UA-2022-02-16-012585-b")</f>
        <v/>
      </c>
      <c r="C188" t="s" s="2">
        <v>2890</v>
      </c>
      <c r="D188" s="2">
        <f>HYPERLINK("https://my.zakupki.prom.ua/remote/dispatcher/state_contracting_view/12924614", "UA-2022-02-16-012585-b-b1")</f>
        <v/>
      </c>
      <c r="E188" t="s" s="1">
        <v>1285</v>
      </c>
      <c r="F188" t="s" s="1">
        <v>2406</v>
      </c>
      <c r="G188" t="s" s="1">
        <v>1978</v>
      </c>
      <c r="H188" t="s" s="1">
        <v>650</v>
      </c>
      <c r="I188" t="s" s="1">
        <v>2017</v>
      </c>
      <c r="J188" t="s" s="1">
        <v>3057</v>
      </c>
      <c r="K188" t="s" s="1">
        <v>398</v>
      </c>
      <c r="L188" t="s" s="1">
        <v>104</v>
      </c>
      <c r="M188" t="n" s="5">
        <v>11277.8</v>
      </c>
      <c r="N188" t="n" s="7">
        <v>44608.0</v>
      </c>
      <c r="O188" t="n" s="7">
        <v>44926.0</v>
      </c>
      <c r="P188" t="s" s="1">
        <v>3259</v>
      </c>
    </row>
    <row r="189" spans="1:16">
      <c r="A189" t="n" s="4">
        <v>185</v>
      </c>
      <c r="B189" s="2">
        <f>HYPERLINK("https://my.zakupki.prom.ua/remote/dispatcher/state_purchase_view/35923351", "UA-2022-04-14-001908-b")</f>
        <v/>
      </c>
      <c r="C189" t="s" s="2">
        <v>2890</v>
      </c>
      <c r="D189" s="2">
        <f>HYPERLINK("https://my.zakupki.prom.ua/remote/dispatcher/state_contracting_view/13378624", "UA-2022-04-14-001908-b-a1")</f>
        <v/>
      </c>
      <c r="E189" t="s" s="1">
        <v>1743</v>
      </c>
      <c r="F189" t="s" s="1">
        <v>2125</v>
      </c>
      <c r="G189" t="s" s="1">
        <v>2125</v>
      </c>
      <c r="H189" t="s" s="1">
        <v>636</v>
      </c>
      <c r="I189" t="s" s="1">
        <v>1933</v>
      </c>
      <c r="J189" t="s" s="1">
        <v>2986</v>
      </c>
      <c r="K189" t="s" s="1">
        <v>673</v>
      </c>
      <c r="L189" t="s" s="1">
        <v>482</v>
      </c>
      <c r="M189" t="n" s="5">
        <v>288500.0</v>
      </c>
      <c r="N189" t="n" s="7">
        <v>44698.0</v>
      </c>
      <c r="O189" t="n" s="7">
        <v>44926.0</v>
      </c>
      <c r="P189" t="s" s="1">
        <v>3259</v>
      </c>
    </row>
    <row r="190" spans="1:16">
      <c r="A190" t="n" s="4">
        <v>186</v>
      </c>
      <c r="B190" s="2">
        <f>HYPERLINK("https://my.zakupki.prom.ua/remote/dispatcher/state_purchase_view/36070776", "UA-2022-05-06-000651-a")</f>
        <v/>
      </c>
      <c r="C190" t="s" s="2">
        <v>2890</v>
      </c>
      <c r="D190" s="2">
        <f>HYPERLINK("https://my.zakupki.prom.ua/remote/dispatcher/state_contracting_view/13343638", "UA-2022-05-06-000651-a-a1")</f>
        <v/>
      </c>
      <c r="E190" t="s" s="1">
        <v>802</v>
      </c>
      <c r="F190" t="s" s="1">
        <v>2660</v>
      </c>
      <c r="G190" t="s" s="1">
        <v>2660</v>
      </c>
      <c r="H190" t="s" s="1">
        <v>1024</v>
      </c>
      <c r="I190" t="s" s="1">
        <v>2017</v>
      </c>
      <c r="J190" t="s" s="1">
        <v>2859</v>
      </c>
      <c r="K190" t="s" s="1">
        <v>541</v>
      </c>
      <c r="L190" t="s" s="1">
        <v>453</v>
      </c>
      <c r="M190" t="n" s="5">
        <v>1790.0</v>
      </c>
      <c r="N190" t="n" s="7">
        <v>44687.0</v>
      </c>
      <c r="O190" t="n" s="7">
        <v>44926.0</v>
      </c>
      <c r="P190" t="s" s="1">
        <v>3259</v>
      </c>
    </row>
    <row r="191" spans="1:16">
      <c r="A191" t="n" s="4">
        <v>187</v>
      </c>
      <c r="B191" s="2">
        <f>HYPERLINK("https://my.zakupki.prom.ua/remote/dispatcher/state_purchase_view/34279880", "UA-2022-01-21-001876-b")</f>
        <v/>
      </c>
      <c r="C191" t="s" s="2">
        <v>2890</v>
      </c>
      <c r="D191" s="2">
        <f>HYPERLINK("https://my.zakupki.prom.ua/remote/dispatcher/state_contracting_view/12474278", "UA-2022-01-21-001876-b-b1")</f>
        <v/>
      </c>
      <c r="E191" t="s" s="1">
        <v>1125</v>
      </c>
      <c r="F191" t="s" s="1">
        <v>2788</v>
      </c>
      <c r="G191" t="s" s="1">
        <v>2788</v>
      </c>
      <c r="H191" t="s" s="1">
        <v>1525</v>
      </c>
      <c r="I191" t="s" s="1">
        <v>2017</v>
      </c>
      <c r="J191" t="s" s="1">
        <v>1879</v>
      </c>
      <c r="K191" t="s" s="1">
        <v>45</v>
      </c>
      <c r="L191" t="s" s="1">
        <v>235</v>
      </c>
      <c r="M191" t="n" s="5">
        <v>8640.0</v>
      </c>
      <c r="N191" t="n" s="7">
        <v>44581.0</v>
      </c>
      <c r="O191" t="n" s="7">
        <v>44926.0</v>
      </c>
      <c r="P191" t="s" s="1">
        <v>3259</v>
      </c>
    </row>
    <row r="192" spans="1:16">
      <c r="A192" t="n" s="4">
        <v>188</v>
      </c>
      <c r="B192" s="2">
        <f>HYPERLINK("https://my.zakupki.prom.ua/remote/dispatcher/state_purchase_view/34242974", "UA-2022-01-20-004011-b")</f>
        <v/>
      </c>
      <c r="C192" t="s" s="2">
        <v>2890</v>
      </c>
      <c r="D192" s="2">
        <f>HYPERLINK("https://my.zakupki.prom.ua/remote/dispatcher/state_contracting_view/12459173", "UA-2022-01-20-004011-b-b1")</f>
        <v/>
      </c>
      <c r="E192" t="s" s="1">
        <v>1664</v>
      </c>
      <c r="F192" t="s" s="1">
        <v>2417</v>
      </c>
      <c r="G192" t="s" s="1">
        <v>2907</v>
      </c>
      <c r="H192" t="s" s="1">
        <v>650</v>
      </c>
      <c r="I192" t="s" s="1">
        <v>2017</v>
      </c>
      <c r="J192" t="s" s="1">
        <v>3066</v>
      </c>
      <c r="K192" t="s" s="1">
        <v>398</v>
      </c>
      <c r="L192" t="s" s="1">
        <v>303</v>
      </c>
      <c r="M192" t="n" s="5">
        <v>514.4</v>
      </c>
      <c r="N192" t="n" s="7">
        <v>44580.0</v>
      </c>
      <c r="O192" t="n" s="7">
        <v>44926.0</v>
      </c>
      <c r="P192" t="s" s="1">
        <v>3259</v>
      </c>
    </row>
    <row r="193" spans="1:16">
      <c r="A193" t="n" s="4">
        <v>189</v>
      </c>
      <c r="B193" s="2">
        <f>HYPERLINK("https://my.zakupki.prom.ua/remote/dispatcher/state_purchase_view/34263092", "UA-2022-01-20-012194-b")</f>
        <v/>
      </c>
      <c r="C193" t="s" s="2">
        <v>2890</v>
      </c>
      <c r="D193" s="2">
        <f>HYPERLINK("https://my.zakupki.prom.ua/remote/dispatcher/state_contracting_view/12467406", "UA-2022-01-20-012194-b-b1")</f>
        <v/>
      </c>
      <c r="E193" t="s" s="1">
        <v>830</v>
      </c>
      <c r="F193" t="s" s="1">
        <v>2423</v>
      </c>
      <c r="G193" t="s" s="1">
        <v>3015</v>
      </c>
      <c r="H193" t="s" s="1">
        <v>650</v>
      </c>
      <c r="I193" t="s" s="1">
        <v>2017</v>
      </c>
      <c r="J193" t="s" s="1">
        <v>3067</v>
      </c>
      <c r="K193" t="s" s="1">
        <v>398</v>
      </c>
      <c r="L193" t="s" s="1">
        <v>325</v>
      </c>
      <c r="M193" t="n" s="5">
        <v>3466.21</v>
      </c>
      <c r="N193" t="n" s="7">
        <v>44580.0</v>
      </c>
      <c r="O193" t="n" s="7">
        <v>44926.0</v>
      </c>
      <c r="P193" t="s" s="1">
        <v>3259</v>
      </c>
    </row>
    <row r="194" spans="1:16">
      <c r="A194" t="n" s="4">
        <v>190</v>
      </c>
      <c r="B194" s="2">
        <f>HYPERLINK("https://my.zakupki.prom.ua/remote/dispatcher/state_purchase_view/34975968", "UA-2022-02-09-001280-b")</f>
        <v/>
      </c>
      <c r="C194" t="s" s="2">
        <v>2890</v>
      </c>
      <c r="D194" s="2">
        <f>HYPERLINK("https://my.zakupki.prom.ua/remote/dispatcher/state_contracting_view/12798528", "UA-2022-02-09-001280-b-b1")</f>
        <v/>
      </c>
      <c r="E194" t="s" s="1">
        <v>13</v>
      </c>
      <c r="F194" t="s" s="1">
        <v>2435</v>
      </c>
      <c r="G194" t="s" s="1">
        <v>3241</v>
      </c>
      <c r="H194" t="s" s="1">
        <v>650</v>
      </c>
      <c r="I194" t="s" s="1">
        <v>2017</v>
      </c>
      <c r="J194" t="s" s="1">
        <v>2922</v>
      </c>
      <c r="K194" t="s" s="1">
        <v>571</v>
      </c>
      <c r="L194" t="s" s="1">
        <v>1382</v>
      </c>
      <c r="M194" t="n" s="5">
        <v>21836.27</v>
      </c>
      <c r="N194" t="n" s="7">
        <v>44601.0</v>
      </c>
      <c r="O194" t="n" s="7">
        <v>44926.0</v>
      </c>
      <c r="P194" t="s" s="1">
        <v>3259</v>
      </c>
    </row>
    <row r="195" spans="1:16">
      <c r="A195" t="n" s="4">
        <v>191</v>
      </c>
      <c r="B195" s="2">
        <f>HYPERLINK("https://my.zakupki.prom.ua/remote/dispatcher/state_purchase_view/34888817", "UA-2022-02-07-005464-b")</f>
        <v/>
      </c>
      <c r="C195" t="s" s="2">
        <v>2890</v>
      </c>
      <c r="D195" s="2">
        <f>HYPERLINK("https://my.zakupki.prom.ua/remote/dispatcher/state_contracting_view/12752970", "UA-2022-02-07-005464-b-b1")</f>
        <v/>
      </c>
      <c r="E195" t="s" s="1">
        <v>340</v>
      </c>
      <c r="F195" t="s" s="1">
        <v>2736</v>
      </c>
      <c r="G195" t="s" s="1">
        <v>2736</v>
      </c>
      <c r="H195" t="s" s="1">
        <v>1330</v>
      </c>
      <c r="I195" t="s" s="1">
        <v>2017</v>
      </c>
      <c r="J195" t="s" s="1">
        <v>2044</v>
      </c>
      <c r="K195" t="s" s="1">
        <v>342</v>
      </c>
      <c r="L195" t="s" s="1">
        <v>348</v>
      </c>
      <c r="M195" t="n" s="5">
        <v>14940.0</v>
      </c>
      <c r="N195" t="n" s="7">
        <v>44599.0</v>
      </c>
      <c r="O195" t="n" s="7">
        <v>44926.0</v>
      </c>
      <c r="P195" t="s" s="1">
        <v>3259</v>
      </c>
    </row>
    <row r="196" spans="1:16">
      <c r="A196" t="n" s="4">
        <v>192</v>
      </c>
      <c r="B196" s="2">
        <f>HYPERLINK("https://my.zakupki.prom.ua/remote/dispatcher/state_purchase_view/35144075", "UA-2022-02-14-007720-b")</f>
        <v/>
      </c>
      <c r="C196" t="s" s="2">
        <v>2890</v>
      </c>
      <c r="D196" s="2">
        <f>HYPERLINK("https://my.zakupki.prom.ua/remote/dispatcher/state_contracting_view/12877627", "UA-2022-02-14-007720-b-b1")</f>
        <v/>
      </c>
      <c r="E196" t="s" s="1">
        <v>1794</v>
      </c>
      <c r="F196" t="s" s="1">
        <v>2556</v>
      </c>
      <c r="G196" t="s" s="1">
        <v>2556</v>
      </c>
      <c r="H196" t="s" s="1">
        <v>875</v>
      </c>
      <c r="I196" t="s" s="1">
        <v>2017</v>
      </c>
      <c r="J196" t="s" s="1">
        <v>2016</v>
      </c>
      <c r="K196" t="s" s="1">
        <v>474</v>
      </c>
      <c r="L196" t="s" s="1">
        <v>1458</v>
      </c>
      <c r="M196" t="n" s="5">
        <v>16500.0</v>
      </c>
      <c r="N196" t="n" s="7">
        <v>44606.0</v>
      </c>
      <c r="O196" t="n" s="7">
        <v>44926.0</v>
      </c>
      <c r="P196" t="s" s="1">
        <v>3259</v>
      </c>
    </row>
    <row r="197" spans="1:16">
      <c r="A197" t="n" s="4">
        <v>193</v>
      </c>
      <c r="B197" s="2">
        <f>HYPERLINK("https://my.zakupki.prom.ua/remote/dispatcher/state_purchase_view/35835032", "UA-2022-04-05-001999-b")</f>
        <v/>
      </c>
      <c r="C197" t="s" s="2">
        <v>2890</v>
      </c>
      <c r="D197" s="2">
        <f>HYPERLINK("https://my.zakupki.prom.ua/remote/dispatcher/state_contracting_view/13223166", "UA-2022-04-05-001999-b-b1")</f>
        <v/>
      </c>
      <c r="E197" t="s" s="1">
        <v>511</v>
      </c>
      <c r="F197" t="s" s="1">
        <v>2102</v>
      </c>
      <c r="G197" t="s" s="1">
        <v>3282</v>
      </c>
      <c r="H197" t="s" s="1">
        <v>650</v>
      </c>
      <c r="I197" t="s" s="1">
        <v>2017</v>
      </c>
      <c r="J197" t="s" s="1">
        <v>3124</v>
      </c>
      <c r="K197" t="s" s="1">
        <v>337</v>
      </c>
      <c r="L197" t="s" s="1">
        <v>252</v>
      </c>
      <c r="M197" t="n" s="5">
        <v>10040.0</v>
      </c>
      <c r="N197" t="n" s="7">
        <v>44655.0</v>
      </c>
      <c r="O197" t="n" s="7">
        <v>44926.0</v>
      </c>
      <c r="P197" t="s" s="1">
        <v>3259</v>
      </c>
    </row>
    <row r="198" spans="1:16">
      <c r="A198" t="n" s="4">
        <v>194</v>
      </c>
      <c r="B198" s="2">
        <f>HYPERLINK("https://my.zakupki.prom.ua/remote/dispatcher/state_purchase_view/35800343", "UA-2022-03-31-001525-b")</f>
        <v/>
      </c>
      <c r="C198" t="s" s="2">
        <v>2890</v>
      </c>
      <c r="D198" s="2">
        <f>HYPERLINK("https://my.zakupki.prom.ua/remote/dispatcher/state_contracting_view/13204282", "UA-2022-03-31-001525-b-b1")</f>
        <v/>
      </c>
      <c r="E198" t="s" s="1">
        <v>1690</v>
      </c>
      <c r="F198" t="s" s="1">
        <v>2739</v>
      </c>
      <c r="G198" t="s" s="1">
        <v>2739</v>
      </c>
      <c r="H198" t="s" s="1">
        <v>1398</v>
      </c>
      <c r="I198" t="s" s="1">
        <v>2017</v>
      </c>
      <c r="J198" t="s" s="1">
        <v>3180</v>
      </c>
      <c r="K198" t="s" s="1">
        <v>819</v>
      </c>
      <c r="L198" t="s" s="1">
        <v>507</v>
      </c>
      <c r="M198" t="n" s="5">
        <v>2790.0</v>
      </c>
      <c r="N198" t="n" s="7">
        <v>44651.0</v>
      </c>
      <c r="O198" t="n" s="7">
        <v>44926.0</v>
      </c>
      <c r="P198" t="s" s="1">
        <v>3259</v>
      </c>
    </row>
    <row r="199" spans="1:16">
      <c r="A199" t="n" s="4">
        <v>195</v>
      </c>
      <c r="B199" s="2">
        <f>HYPERLINK("https://my.zakupki.prom.ua/remote/dispatcher/state_purchase_view/34569532", "UA-2022-01-28-001398-b")</f>
        <v/>
      </c>
      <c r="C199" t="s" s="2">
        <v>2890</v>
      </c>
      <c r="D199" s="2">
        <f>HYPERLINK("https://my.zakupki.prom.ua/remote/dispatcher/state_contracting_view/12602779", "UA-2022-01-28-001398-b-b1")</f>
        <v/>
      </c>
      <c r="E199" t="s" s="1">
        <v>1669</v>
      </c>
      <c r="F199" t="s" s="1">
        <v>2428</v>
      </c>
      <c r="G199" t="s" s="1">
        <v>3203</v>
      </c>
      <c r="H199" t="s" s="1">
        <v>650</v>
      </c>
      <c r="I199" t="s" s="1">
        <v>2017</v>
      </c>
      <c r="J199" t="s" s="1">
        <v>3067</v>
      </c>
      <c r="K199" t="s" s="1">
        <v>398</v>
      </c>
      <c r="L199" t="s" s="1">
        <v>895</v>
      </c>
      <c r="M199" t="n" s="5">
        <v>313376.3</v>
      </c>
      <c r="N199" t="n" s="7">
        <v>44589.0</v>
      </c>
      <c r="O199" t="n" s="7">
        <v>44926.0</v>
      </c>
      <c r="P199" t="s" s="1">
        <v>3259</v>
      </c>
    </row>
    <row r="200" spans="1:16">
      <c r="A200" t="n" s="4">
        <v>196</v>
      </c>
      <c r="B200" s="2">
        <f>HYPERLINK("https://my.zakupki.prom.ua/remote/dispatcher/state_purchase_view/34356298", "UA-2022-01-24-007359-b")</f>
        <v/>
      </c>
      <c r="C200" t="s" s="2">
        <v>2890</v>
      </c>
      <c r="D200" s="2">
        <f>HYPERLINK("https://my.zakupki.prom.ua/remote/dispatcher/state_contracting_view/12506817", "UA-2022-01-24-007359-b-b1")</f>
        <v/>
      </c>
      <c r="E200" t="s" s="1">
        <v>1823</v>
      </c>
      <c r="F200" t="s" s="1">
        <v>2679</v>
      </c>
      <c r="G200" t="s" s="1">
        <v>2679</v>
      </c>
      <c r="H200" t="s" s="1">
        <v>1028</v>
      </c>
      <c r="I200" t="s" s="1">
        <v>2017</v>
      </c>
      <c r="J200" t="s" s="1">
        <v>3082</v>
      </c>
      <c r="K200" t="s" s="1">
        <v>743</v>
      </c>
      <c r="L200" t="s" s="1">
        <v>260</v>
      </c>
      <c r="M200" t="n" s="5">
        <v>5562.0</v>
      </c>
      <c r="N200" t="n" s="7">
        <v>44585.0</v>
      </c>
      <c r="O200" t="n" s="7">
        <v>44926.0</v>
      </c>
      <c r="P200" t="s" s="1">
        <v>3259</v>
      </c>
    </row>
    <row r="201" spans="1:16">
      <c r="A201" t="n" s="4">
        <v>197</v>
      </c>
      <c r="B201" s="2">
        <f>HYPERLINK("https://my.zakupki.prom.ua/remote/dispatcher/state_purchase_view/35948898", "UA-2022-04-18-002926-a")</f>
        <v/>
      </c>
      <c r="C201" t="s" s="2">
        <v>2890</v>
      </c>
      <c r="D201" s="2">
        <f>HYPERLINK("https://my.zakupki.prom.ua/remote/dispatcher/state_contracting_view/13280237", "UA-2022-04-18-002926-a-a1")</f>
        <v/>
      </c>
      <c r="E201" t="s" s="1">
        <v>1427</v>
      </c>
      <c r="F201" t="s" s="1">
        <v>2153</v>
      </c>
      <c r="G201" t="s" s="1">
        <v>2153</v>
      </c>
      <c r="H201" t="s" s="1">
        <v>1319</v>
      </c>
      <c r="I201" t="s" s="1">
        <v>2017</v>
      </c>
      <c r="J201" t="s" s="1">
        <v>3189</v>
      </c>
      <c r="K201" t="s" s="1">
        <v>263</v>
      </c>
      <c r="L201" t="s" s="1">
        <v>420</v>
      </c>
      <c r="M201" t="n" s="5">
        <v>8930.4</v>
      </c>
      <c r="N201" t="n" s="7">
        <v>44669.0</v>
      </c>
      <c r="O201" t="n" s="7">
        <v>44926.0</v>
      </c>
      <c r="P201" t="s" s="1">
        <v>3259</v>
      </c>
    </row>
    <row r="202" spans="1:16">
      <c r="A202" t="n" s="4">
        <v>198</v>
      </c>
      <c r="B202" s="2">
        <f>HYPERLINK("https://my.zakupki.prom.ua/remote/dispatcher/state_purchase_view/38856955", "UA-2022-11-28-011553-a")</f>
        <v/>
      </c>
      <c r="C202" t="s" s="2">
        <v>2890</v>
      </c>
      <c r="D202" s="2">
        <f>HYPERLINK("https://my.zakupki.prom.ua/remote/dispatcher/state_contracting_view/14695306", "UA-2022-11-28-011553-a-a1")</f>
        <v/>
      </c>
      <c r="E202" t="s" s="1">
        <v>1424</v>
      </c>
      <c r="F202" t="s" s="1">
        <v>2563</v>
      </c>
      <c r="G202" t="s" s="1">
        <v>2855</v>
      </c>
      <c r="H202" t="s" s="1">
        <v>900</v>
      </c>
      <c r="I202" t="s" s="1">
        <v>2017</v>
      </c>
      <c r="J202" t="s" s="1">
        <v>2028</v>
      </c>
      <c r="K202" t="s" s="1">
        <v>418</v>
      </c>
      <c r="L202" t="s" s="1">
        <v>1253</v>
      </c>
      <c r="M202" t="n" s="5">
        <v>5250.0</v>
      </c>
      <c r="N202" t="n" s="7">
        <v>44893.0</v>
      </c>
      <c r="O202" t="n" s="7">
        <v>44926.0</v>
      </c>
      <c r="P202" t="s" s="1">
        <v>3259</v>
      </c>
    </row>
    <row r="203" spans="1:16">
      <c r="A203" t="n" s="4">
        <v>199</v>
      </c>
      <c r="B203" s="2">
        <f>HYPERLINK("https://my.zakupki.prom.ua/remote/dispatcher/state_purchase_view/38836718", "UA-2022-11-28-001753-a")</f>
        <v/>
      </c>
      <c r="C203" t="s" s="2">
        <v>2890</v>
      </c>
      <c r="D203" s="2">
        <f>HYPERLINK("https://my.zakupki.prom.ua/remote/dispatcher/state_contracting_view/14686824", "UA-2022-11-28-001753-a-a1")</f>
        <v/>
      </c>
      <c r="E203" t="s" s="1">
        <v>1392</v>
      </c>
      <c r="F203" t="s" s="1">
        <v>2641</v>
      </c>
      <c r="G203" t="s" s="1">
        <v>2641</v>
      </c>
      <c r="H203" t="s" s="1">
        <v>939</v>
      </c>
      <c r="I203" t="s" s="1">
        <v>2017</v>
      </c>
      <c r="J203" t="s" s="1">
        <v>2917</v>
      </c>
      <c r="K203" t="s" s="1">
        <v>855</v>
      </c>
      <c r="L203" t="s" s="1">
        <v>1251</v>
      </c>
      <c r="M203" t="n" s="5">
        <v>59703.0</v>
      </c>
      <c r="N203" t="n" s="7">
        <v>44893.0</v>
      </c>
      <c r="O203" t="n" s="7">
        <v>44926.0</v>
      </c>
      <c r="P203" t="s" s="1">
        <v>3259</v>
      </c>
    </row>
    <row r="204" spans="1:16">
      <c r="A204" t="n" s="4">
        <v>200</v>
      </c>
      <c r="B204" s="2">
        <f>HYPERLINK("https://my.zakupki.prom.ua/remote/dispatcher/state_purchase_view/38380329", "UA-2022-11-07-003706-a")</f>
        <v/>
      </c>
      <c r="C204" s="2">
        <f>HYPERLINK("https://my.zakupki.prom.ua/remote/dispatcher/state_purchase_lot_view/779451", "UA-2022-11-07-003706-a-L779451")</f>
        <v/>
      </c>
      <c r="D204" s="2">
        <f>HYPERLINK("https://my.zakupki.prom.ua/remote/dispatcher/state_contracting_view/14629029", "UA-2022-11-07-003706-a-a1")</f>
        <v/>
      </c>
      <c r="E204" t="s" s="1">
        <v>444</v>
      </c>
      <c r="F204" t="s" s="1">
        <v>1972</v>
      </c>
      <c r="G204" t="s" s="1">
        <v>1972</v>
      </c>
      <c r="H204" t="s" s="1">
        <v>943</v>
      </c>
      <c r="I204" t="s" s="1">
        <v>1934</v>
      </c>
      <c r="J204" t="s" s="1">
        <v>1874</v>
      </c>
      <c r="K204" t="s" s="1">
        <v>606</v>
      </c>
      <c r="L204" t="s" s="1">
        <v>1246</v>
      </c>
      <c r="M204" t="n" s="5">
        <v>396133.0</v>
      </c>
      <c r="N204" t="n" s="7">
        <v>44887.0</v>
      </c>
      <c r="O204" t="n" s="7">
        <v>44926.0</v>
      </c>
      <c r="P204" t="s" s="1">
        <v>3259</v>
      </c>
    </row>
    <row r="205" spans="1:16">
      <c r="A205" t="n" s="4">
        <v>201</v>
      </c>
      <c r="B205" s="2">
        <f>HYPERLINK("https://my.zakupki.prom.ua/remote/dispatcher/state_purchase_view/38779019", "UA-2022-11-24-002197-a")</f>
        <v/>
      </c>
      <c r="C205" t="s" s="2">
        <v>2890</v>
      </c>
      <c r="D205" s="2">
        <f>HYPERLINK("https://my.zakupki.prom.ua/remote/dispatcher/state_contracting_view/14659555", "UA-2022-11-24-002197-a-b1")</f>
        <v/>
      </c>
      <c r="E205" t="s" s="1">
        <v>1844</v>
      </c>
      <c r="F205" t="s" s="1">
        <v>2212</v>
      </c>
      <c r="G205" t="s" s="1">
        <v>3221</v>
      </c>
      <c r="H205" t="s" s="1">
        <v>196</v>
      </c>
      <c r="I205" t="s" s="1">
        <v>2017</v>
      </c>
      <c r="J205" t="s" s="1">
        <v>3237</v>
      </c>
      <c r="K205" t="s" s="1">
        <v>687</v>
      </c>
      <c r="L205" t="s" s="1">
        <v>1249</v>
      </c>
      <c r="M205" t="n" s="5">
        <v>9000.0</v>
      </c>
      <c r="N205" t="n" s="7">
        <v>44888.0</v>
      </c>
      <c r="O205" t="n" s="7">
        <v>44926.0</v>
      </c>
      <c r="P205" t="s" s="1">
        <v>3259</v>
      </c>
    </row>
    <row r="206" spans="1:16">
      <c r="A206" t="n" s="4">
        <v>202</v>
      </c>
      <c r="B206" s="2">
        <f>HYPERLINK("https://my.zakupki.prom.ua/remote/dispatcher/state_purchase_view/38152070", "UA-2022-10-25-007368-a")</f>
        <v/>
      </c>
      <c r="C206" t="s" s="2">
        <v>2890</v>
      </c>
      <c r="D206" s="2">
        <f>HYPERLINK("https://my.zakupki.prom.ua/remote/dispatcher/state_contracting_view/14367168", "UA-2022-10-25-007368-a-b1")</f>
        <v/>
      </c>
      <c r="E206" t="s" s="1">
        <v>529</v>
      </c>
      <c r="F206" t="s" s="1">
        <v>2526</v>
      </c>
      <c r="G206" t="s" s="1">
        <v>2526</v>
      </c>
      <c r="H206" t="s" s="1">
        <v>774</v>
      </c>
      <c r="I206" t="s" s="1">
        <v>2017</v>
      </c>
      <c r="J206" t="s" s="1">
        <v>1927</v>
      </c>
      <c r="K206" t="s" s="1">
        <v>320</v>
      </c>
      <c r="L206" t="s" s="1">
        <v>1183</v>
      </c>
      <c r="M206" t="n" s="5">
        <v>80.0</v>
      </c>
      <c r="N206" t="n" s="7">
        <v>44859.0</v>
      </c>
      <c r="O206" t="n" s="7">
        <v>44926.0</v>
      </c>
      <c r="P206" t="s" s="1">
        <v>3259</v>
      </c>
    </row>
    <row r="207" spans="1:16">
      <c r="A207" t="n" s="4">
        <v>203</v>
      </c>
      <c r="B207" s="2">
        <f>HYPERLINK("https://my.zakupki.prom.ua/remote/dispatcher/state_purchase_view/37691861", "UA-2022-09-26-007052-a")</f>
        <v/>
      </c>
      <c r="C207" t="s" s="2">
        <v>2890</v>
      </c>
      <c r="D207" s="2">
        <f>HYPERLINK("https://my.zakupki.prom.ua/remote/dispatcher/state_contracting_view/14358091", "UA-2022-09-26-007052-a-a1")</f>
        <v/>
      </c>
      <c r="E207" t="s" s="1">
        <v>75</v>
      </c>
      <c r="F207" t="s" s="1">
        <v>2110</v>
      </c>
      <c r="G207" t="s" s="1">
        <v>2850</v>
      </c>
      <c r="H207" t="s" s="1">
        <v>667</v>
      </c>
      <c r="I207" t="s" s="1">
        <v>1933</v>
      </c>
      <c r="J207" t="s" s="1">
        <v>2916</v>
      </c>
      <c r="K207" t="s" s="1">
        <v>842</v>
      </c>
      <c r="L207" t="s" s="1">
        <v>1164</v>
      </c>
      <c r="M207" t="n" s="5">
        <v>657960.0</v>
      </c>
      <c r="N207" t="n" s="7">
        <v>44859.0</v>
      </c>
      <c r="O207" t="n" s="7">
        <v>44926.0</v>
      </c>
      <c r="P207" t="s" s="1">
        <v>3259</v>
      </c>
    </row>
    <row r="208" spans="1:16">
      <c r="A208" t="n" s="4">
        <v>204</v>
      </c>
      <c r="B208" s="2">
        <f>HYPERLINK("https://my.zakupki.prom.ua/remote/dispatcher/state_purchase_view/38150267", "UA-2022-10-25-006448-a")</f>
        <v/>
      </c>
      <c r="C208" t="s" s="2">
        <v>2890</v>
      </c>
      <c r="D208" s="2">
        <f>HYPERLINK("https://my.zakupki.prom.ua/remote/dispatcher/state_contracting_view/14366412", "UA-2022-10-25-006448-a-a1")</f>
        <v/>
      </c>
      <c r="E208" t="s" s="1">
        <v>1241</v>
      </c>
      <c r="F208" t="s" s="1">
        <v>2272</v>
      </c>
      <c r="G208" t="s" s="1">
        <v>2272</v>
      </c>
      <c r="H208" t="s" s="1">
        <v>426</v>
      </c>
      <c r="I208" t="s" s="1">
        <v>2017</v>
      </c>
      <c r="J208" t="s" s="1">
        <v>1927</v>
      </c>
      <c r="K208" t="s" s="1">
        <v>320</v>
      </c>
      <c r="L208" t="s" s="1">
        <v>1166</v>
      </c>
      <c r="M208" t="n" s="5">
        <v>440.0</v>
      </c>
      <c r="N208" t="n" s="7">
        <v>44859.0</v>
      </c>
      <c r="O208" t="n" s="7">
        <v>44926.0</v>
      </c>
      <c r="P208" t="s" s="1">
        <v>3259</v>
      </c>
    </row>
    <row r="209" spans="1:16">
      <c r="A209" t="n" s="4">
        <v>205</v>
      </c>
      <c r="B209" s="2">
        <f>HYPERLINK("https://my.zakupki.prom.ua/remote/dispatcher/state_purchase_view/36714876", "UA-2022-07-18-006548-a")</f>
        <v/>
      </c>
      <c r="C209" t="s" s="2">
        <v>2890</v>
      </c>
      <c r="D209" s="2">
        <f>HYPERLINK("https://my.zakupki.prom.ua/remote/dispatcher/state_contracting_view/13665307", "UA-2022-07-18-006548-a-b1")</f>
        <v/>
      </c>
      <c r="E209" t="s" s="1">
        <v>100</v>
      </c>
      <c r="F209" t="s" s="1">
        <v>2180</v>
      </c>
      <c r="G209" t="s" s="1">
        <v>167</v>
      </c>
      <c r="H209" t="s" s="1">
        <v>166</v>
      </c>
      <c r="I209" t="s" s="1">
        <v>2017</v>
      </c>
      <c r="J209" t="s" s="1">
        <v>1927</v>
      </c>
      <c r="K209" t="s" s="1">
        <v>320</v>
      </c>
      <c r="L209" t="s" s="1">
        <v>782</v>
      </c>
      <c r="M209" t="n" s="5">
        <v>260.0</v>
      </c>
      <c r="N209" t="n" s="7">
        <v>44760.0</v>
      </c>
      <c r="O209" t="n" s="7">
        <v>44926.0</v>
      </c>
      <c r="P209" t="s" s="1">
        <v>3259</v>
      </c>
    </row>
    <row r="210" spans="1:16">
      <c r="A210" t="n" s="4">
        <v>206</v>
      </c>
      <c r="B210" s="2">
        <f>HYPERLINK("https://my.zakupki.prom.ua/remote/dispatcher/state_purchase_view/36756190", "UA-2022-07-21-002068-a")</f>
        <v/>
      </c>
      <c r="C210" t="s" s="2">
        <v>2890</v>
      </c>
      <c r="D210" s="2">
        <f>HYPERLINK("https://my.zakupki.prom.ua/remote/dispatcher/state_contracting_view/13684481", "UA-2022-07-21-002068-a-b1")</f>
        <v/>
      </c>
      <c r="E210" t="s" s="1">
        <v>803</v>
      </c>
      <c r="F210" t="s" s="1">
        <v>2215</v>
      </c>
      <c r="G210" t="s" s="1">
        <v>2864</v>
      </c>
      <c r="H210" t="s" s="1">
        <v>197</v>
      </c>
      <c r="I210" t="s" s="1">
        <v>2017</v>
      </c>
      <c r="J210" t="s" s="1">
        <v>3237</v>
      </c>
      <c r="K210" t="s" s="1">
        <v>687</v>
      </c>
      <c r="L210" t="s" s="1">
        <v>887</v>
      </c>
      <c r="M210" t="n" s="5">
        <v>5580.0</v>
      </c>
      <c r="N210" t="n" s="7">
        <v>44763.0</v>
      </c>
      <c r="O210" t="n" s="7">
        <v>44926.0</v>
      </c>
      <c r="P210" t="s" s="1">
        <v>3259</v>
      </c>
    </row>
    <row r="211" spans="1:16">
      <c r="A211" t="n" s="4">
        <v>207</v>
      </c>
      <c r="B211" s="2">
        <f>HYPERLINK("https://my.zakupki.prom.ua/remote/dispatcher/state_purchase_view/36914990", "UA-2022-08-03-008158-a")</f>
        <v/>
      </c>
      <c r="C211" t="s" s="2">
        <v>2890</v>
      </c>
      <c r="D211" s="2">
        <f>HYPERLINK("https://my.zakupki.prom.ua/remote/dispatcher/state_contracting_view/13759356", "UA-2022-08-03-008158-a-b1")</f>
        <v/>
      </c>
      <c r="E211" t="s" s="1">
        <v>1767</v>
      </c>
      <c r="F211" t="s" s="1">
        <v>2755</v>
      </c>
      <c r="G211" t="s" s="1">
        <v>2755</v>
      </c>
      <c r="H211" t="s" s="1">
        <v>1443</v>
      </c>
      <c r="I211" t="s" s="1">
        <v>2017</v>
      </c>
      <c r="J211" t="s" s="1">
        <v>2036</v>
      </c>
      <c r="K211" t="s" s="1">
        <v>266</v>
      </c>
      <c r="L211" t="s" s="1">
        <v>956</v>
      </c>
      <c r="M211" t="n" s="5">
        <v>5628.0</v>
      </c>
      <c r="N211" t="n" s="7">
        <v>44774.0</v>
      </c>
      <c r="O211" t="n" s="7">
        <v>44926.0</v>
      </c>
      <c r="P211" t="s" s="1">
        <v>3259</v>
      </c>
    </row>
    <row r="212" spans="1:16">
      <c r="A212" t="n" s="4">
        <v>208</v>
      </c>
      <c r="B212" s="2">
        <f>HYPERLINK("https://my.zakupki.prom.ua/remote/dispatcher/state_purchase_view/37325782", "UA-2022-09-02-003630-a")</f>
        <v/>
      </c>
      <c r="C212" t="s" s="2">
        <v>2890</v>
      </c>
      <c r="D212" s="2">
        <f>HYPERLINK("https://my.zakupki.prom.ua/remote/dispatcher/state_contracting_view/13957274", "UA-2022-09-02-003630-a-b1")</f>
        <v/>
      </c>
      <c r="E212" t="s" s="1">
        <v>1695</v>
      </c>
      <c r="F212" t="s" s="1">
        <v>2595</v>
      </c>
      <c r="G212" t="s" s="1">
        <v>3263</v>
      </c>
      <c r="H212" t="s" s="1">
        <v>914</v>
      </c>
      <c r="I212" t="s" s="1">
        <v>2017</v>
      </c>
      <c r="J212" t="s" s="1">
        <v>3145</v>
      </c>
      <c r="K212" t="s" s="1">
        <v>495</v>
      </c>
      <c r="L212" t="s" s="1">
        <v>3049</v>
      </c>
      <c r="M212" t="n" s="5">
        <v>2880.0</v>
      </c>
      <c r="N212" t="n" s="7">
        <v>44806.0</v>
      </c>
      <c r="O212" t="n" s="7">
        <v>44926.0</v>
      </c>
      <c r="P212" t="s" s="1">
        <v>3259</v>
      </c>
    </row>
    <row r="213" spans="1:16">
      <c r="A213" t="n" s="4">
        <v>209</v>
      </c>
      <c r="B213" s="2">
        <f>HYPERLINK("https://my.zakupki.prom.ua/remote/dispatcher/state_purchase_view/37398680", "UA-2022-09-07-008404-a")</f>
        <v/>
      </c>
      <c r="C213" t="s" s="2">
        <v>2890</v>
      </c>
      <c r="D213" s="2">
        <f>HYPERLINK("https://my.zakupki.prom.ua/remote/dispatcher/state_contracting_view/13992351", "UA-2022-09-07-008404-a-b1")</f>
        <v/>
      </c>
      <c r="E213" t="s" s="1">
        <v>1457</v>
      </c>
      <c r="F213" t="s" s="1">
        <v>2509</v>
      </c>
      <c r="G213" t="s" s="1">
        <v>3024</v>
      </c>
      <c r="H213" t="s" s="1">
        <v>686</v>
      </c>
      <c r="I213" t="s" s="1">
        <v>2017</v>
      </c>
      <c r="J213" t="s" s="1">
        <v>3210</v>
      </c>
      <c r="K213" t="s" s="1">
        <v>644</v>
      </c>
      <c r="L213" t="s" s="1">
        <v>402</v>
      </c>
      <c r="M213" t="n" s="5">
        <v>27347.2</v>
      </c>
      <c r="N213" t="n" s="7">
        <v>44811.0</v>
      </c>
      <c r="O213" t="n" s="7">
        <v>44926.0</v>
      </c>
      <c r="P213" t="s" s="1">
        <v>3259</v>
      </c>
    </row>
    <row r="214" spans="1:16">
      <c r="A214" t="n" s="4">
        <v>210</v>
      </c>
      <c r="B214" s="2">
        <f>HYPERLINK("https://my.zakupki.prom.ua/remote/dispatcher/state_purchase_view/37751261", "UA-2022-09-29-003725-a")</f>
        <v/>
      </c>
      <c r="C214" t="s" s="2">
        <v>2890</v>
      </c>
      <c r="D214" s="2">
        <f>HYPERLINK("https://my.zakupki.prom.ua/remote/dispatcher/state_contracting_view/14165499", "UA-2022-09-29-003725-a-b1")</f>
        <v/>
      </c>
      <c r="E214" t="s" s="1">
        <v>867</v>
      </c>
      <c r="F214" t="s" s="1">
        <v>2569</v>
      </c>
      <c r="G214" t="s" s="1">
        <v>1996</v>
      </c>
      <c r="H214" t="s" s="1">
        <v>902</v>
      </c>
      <c r="I214" t="s" s="1">
        <v>2017</v>
      </c>
      <c r="J214" t="s" s="1">
        <v>2904</v>
      </c>
      <c r="K214" t="s" s="1">
        <v>688</v>
      </c>
      <c r="L214" t="s" s="1">
        <v>1096</v>
      </c>
      <c r="M214" t="n" s="5">
        <v>3750.0</v>
      </c>
      <c r="N214" t="n" s="7">
        <v>44833.0</v>
      </c>
      <c r="O214" t="n" s="7">
        <v>44926.0</v>
      </c>
      <c r="P214" t="s" s="1">
        <v>3259</v>
      </c>
    </row>
    <row r="215" spans="1:16">
      <c r="A215" t="n" s="4">
        <v>211</v>
      </c>
      <c r="B215" s="2">
        <f>HYPERLINK("https://my.zakupki.prom.ua/remote/dispatcher/state_purchase_view/37751415", "UA-2022-09-29-003840-a")</f>
        <v/>
      </c>
      <c r="C215" t="s" s="2">
        <v>2890</v>
      </c>
      <c r="D215" s="2">
        <f>HYPERLINK("https://my.zakupki.prom.ua/remote/dispatcher/state_contracting_view/14165451", "UA-2022-09-29-003840-a-b1")</f>
        <v/>
      </c>
      <c r="E215" t="s" s="1">
        <v>1581</v>
      </c>
      <c r="F215" t="s" s="1">
        <v>2148</v>
      </c>
      <c r="G215" t="s" s="1">
        <v>3209</v>
      </c>
      <c r="H215" t="s" s="1">
        <v>859</v>
      </c>
      <c r="I215" t="s" s="1">
        <v>2017</v>
      </c>
      <c r="J215" t="s" s="1">
        <v>2904</v>
      </c>
      <c r="K215" t="s" s="1">
        <v>688</v>
      </c>
      <c r="L215" t="s" s="1">
        <v>1097</v>
      </c>
      <c r="M215" t="n" s="5">
        <v>3520.0</v>
      </c>
      <c r="N215" t="n" s="7">
        <v>44833.0</v>
      </c>
      <c r="O215" t="n" s="7">
        <v>44926.0</v>
      </c>
      <c r="P215" t="s" s="1">
        <v>3259</v>
      </c>
    </row>
    <row r="216" spans="1:16">
      <c r="A216" t="n" s="4">
        <v>212</v>
      </c>
      <c r="B216" s="2">
        <f>HYPERLINK("https://my.zakupki.prom.ua/remote/dispatcher/state_purchase_view/37859595", "UA-2022-10-06-006303-a")</f>
        <v/>
      </c>
      <c r="C216" t="s" s="2">
        <v>2890</v>
      </c>
      <c r="D216" s="2">
        <f>HYPERLINK("https://my.zakupki.prom.ua/remote/dispatcher/state_contracting_view/14218830", "UA-2022-10-06-006303-a-b1")</f>
        <v/>
      </c>
      <c r="E216" t="s" s="1">
        <v>1841</v>
      </c>
      <c r="F216" t="s" s="1">
        <v>2540</v>
      </c>
      <c r="G216" t="s" s="1">
        <v>2980</v>
      </c>
      <c r="H216" t="s" s="1">
        <v>784</v>
      </c>
      <c r="I216" t="s" s="1">
        <v>2017</v>
      </c>
      <c r="J216" t="s" s="1">
        <v>3145</v>
      </c>
      <c r="K216" t="s" s="1">
        <v>495</v>
      </c>
      <c r="L216" t="s" s="1">
        <v>3042</v>
      </c>
      <c r="M216" t="n" s="5">
        <v>10540.0</v>
      </c>
      <c r="N216" t="n" s="7">
        <v>44840.0</v>
      </c>
      <c r="O216" t="n" s="7">
        <v>44926.0</v>
      </c>
      <c r="P216" t="s" s="1">
        <v>3259</v>
      </c>
    </row>
    <row r="217" spans="1:16">
      <c r="A217" t="n" s="4">
        <v>213</v>
      </c>
      <c r="B217" s="2">
        <f>HYPERLINK("https://my.zakupki.prom.ua/remote/dispatcher/state_purchase_view/37859897", "UA-2022-10-06-006486-a")</f>
        <v/>
      </c>
      <c r="C217" t="s" s="2">
        <v>2890</v>
      </c>
      <c r="D217" s="2">
        <f>HYPERLINK("https://my.zakupki.prom.ua/remote/dispatcher/state_contracting_view/14219338", "UA-2022-10-06-006486-a-a1")</f>
        <v/>
      </c>
      <c r="E217" t="s" s="1">
        <v>1688</v>
      </c>
      <c r="F217" t="s" s="1">
        <v>2304</v>
      </c>
      <c r="G217" t="s" s="1">
        <v>2845</v>
      </c>
      <c r="H217" t="s" s="1">
        <v>582</v>
      </c>
      <c r="I217" t="s" s="1">
        <v>2017</v>
      </c>
      <c r="J217" t="s" s="1">
        <v>3145</v>
      </c>
      <c r="K217" t="s" s="1">
        <v>495</v>
      </c>
      <c r="L217" t="s" s="1">
        <v>3043</v>
      </c>
      <c r="M217" t="n" s="5">
        <v>1785.0</v>
      </c>
      <c r="N217" t="n" s="7">
        <v>44840.0</v>
      </c>
      <c r="O217" t="n" s="7">
        <v>44926.0</v>
      </c>
      <c r="P217" t="s" s="1">
        <v>3259</v>
      </c>
    </row>
    <row r="218" spans="1:16">
      <c r="A218" t="n" s="4">
        <v>214</v>
      </c>
      <c r="B218" s="2">
        <f>HYPERLINK("https://my.zakupki.prom.ua/remote/dispatcher/state_purchase_view/39743002", "UA-2022-12-26-009842-a")</f>
        <v/>
      </c>
      <c r="C218" t="s" s="2">
        <v>2890</v>
      </c>
      <c r="D218" s="2">
        <f>HYPERLINK("https://my.zakupki.prom.ua/remote/dispatcher/state_contracting_view/15110892", "UA-2022-12-26-009842-a-c1")</f>
        <v/>
      </c>
      <c r="E218" t="s" s="1">
        <v>1838</v>
      </c>
      <c r="F218" t="s" s="1">
        <v>2292</v>
      </c>
      <c r="G218" t="s" s="1">
        <v>1911</v>
      </c>
      <c r="H218" t="s" s="1">
        <v>578</v>
      </c>
      <c r="I218" t="s" s="1">
        <v>2017</v>
      </c>
      <c r="J218" t="s" s="1">
        <v>2929</v>
      </c>
      <c r="K218" t="s" s="1">
        <v>688</v>
      </c>
      <c r="L218" t="s" s="1">
        <v>1357</v>
      </c>
      <c r="M218" t="n" s="5">
        <v>120.0</v>
      </c>
      <c r="N218" t="n" s="7">
        <v>44921.0</v>
      </c>
      <c r="O218" t="n" s="7">
        <v>44926.0</v>
      </c>
      <c r="P218" t="s" s="1">
        <v>3259</v>
      </c>
    </row>
    <row r="219" spans="1:16">
      <c r="A219" t="n" s="4">
        <v>215</v>
      </c>
      <c r="B219" s="2">
        <f>HYPERLINK("https://my.zakupki.prom.ua/remote/dispatcher/state_purchase_view/39778800", "UA-2022-12-27-006543-a")</f>
        <v/>
      </c>
      <c r="C219" t="s" s="2">
        <v>2890</v>
      </c>
      <c r="D219" s="2">
        <f>HYPERLINK("https://my.zakupki.prom.ua/remote/dispatcher/state_contracting_view/15129002", "UA-2022-12-27-006543-a-a1")</f>
        <v/>
      </c>
      <c r="E219" t="s" s="1">
        <v>1692</v>
      </c>
      <c r="F219" t="s" s="1">
        <v>2553</v>
      </c>
      <c r="G219" t="s" s="1">
        <v>2820</v>
      </c>
      <c r="H219" t="s" s="1">
        <v>859</v>
      </c>
      <c r="I219" t="s" s="1">
        <v>2017</v>
      </c>
      <c r="J219" t="s" s="1">
        <v>2904</v>
      </c>
      <c r="K219" t="s" s="1">
        <v>688</v>
      </c>
      <c r="L219" t="s" s="1">
        <v>1374</v>
      </c>
      <c r="M219" t="n" s="5">
        <v>2686.8</v>
      </c>
      <c r="N219" t="n" s="7">
        <v>44922.0</v>
      </c>
      <c r="O219" t="n" s="7">
        <v>44926.0</v>
      </c>
      <c r="P219" t="s" s="1">
        <v>3259</v>
      </c>
    </row>
    <row r="220" spans="1:16">
      <c r="A220" t="n" s="4">
        <v>216</v>
      </c>
      <c r="B220" s="2">
        <f>HYPERLINK("https://my.zakupki.prom.ua/remote/dispatcher/state_purchase_view/39693520", "UA-2022-12-23-013521-a")</f>
        <v/>
      </c>
      <c r="C220" t="s" s="2">
        <v>2890</v>
      </c>
      <c r="D220" s="2">
        <f>HYPERLINK("https://my.zakupki.prom.ua/remote/dispatcher/state_contracting_view/15087482", "UA-2022-12-23-013521-a-c1")</f>
        <v/>
      </c>
      <c r="E220" t="s" s="1">
        <v>1668</v>
      </c>
      <c r="F220" t="s" s="1">
        <v>2307</v>
      </c>
      <c r="G220" t="s" s="1">
        <v>2848</v>
      </c>
      <c r="H220" t="s" s="1">
        <v>582</v>
      </c>
      <c r="I220" t="s" s="1">
        <v>2017</v>
      </c>
      <c r="J220" t="s" s="1">
        <v>1927</v>
      </c>
      <c r="K220" t="s" s="1">
        <v>320</v>
      </c>
      <c r="L220" t="s" s="1">
        <v>1340</v>
      </c>
      <c r="M220" t="n" s="5">
        <v>1150.0</v>
      </c>
      <c r="N220" t="n" s="7">
        <v>44918.0</v>
      </c>
      <c r="O220" t="n" s="7">
        <v>44926.0</v>
      </c>
      <c r="P220" t="s" s="1">
        <v>3259</v>
      </c>
    </row>
    <row r="221" spans="1:16">
      <c r="A221" t="n" s="4">
        <v>217</v>
      </c>
      <c r="B221" s="2">
        <f>HYPERLINK("https://my.zakupki.prom.ua/remote/dispatcher/state_purchase_view/39165620", "UA-2022-12-08-017190-a")</f>
        <v/>
      </c>
      <c r="C221" t="s" s="2">
        <v>2890</v>
      </c>
      <c r="D221" s="2">
        <f>HYPERLINK("https://my.zakupki.prom.ua/remote/dispatcher/state_contracting_view/14836194", "UA-2022-12-08-017190-a-c1")</f>
        <v/>
      </c>
      <c r="E221" t="s" s="1">
        <v>1528</v>
      </c>
      <c r="F221" t="s" s="1">
        <v>2625</v>
      </c>
      <c r="G221" t="s" s="1">
        <v>2003</v>
      </c>
      <c r="H221" t="s" s="1">
        <v>931</v>
      </c>
      <c r="I221" t="s" s="1">
        <v>2017</v>
      </c>
      <c r="J221" t="s" s="1">
        <v>1927</v>
      </c>
      <c r="K221" t="s" s="1">
        <v>320</v>
      </c>
      <c r="L221" t="s" s="1">
        <v>1303</v>
      </c>
      <c r="M221" t="n" s="5">
        <v>655.0</v>
      </c>
      <c r="N221" t="n" s="7">
        <v>44903.0</v>
      </c>
      <c r="O221" t="n" s="7">
        <v>44926.0</v>
      </c>
      <c r="P221" t="s" s="1">
        <v>3259</v>
      </c>
    </row>
    <row r="222" spans="1:16">
      <c r="A222" t="n" s="4">
        <v>218</v>
      </c>
      <c r="B222" s="2">
        <f>HYPERLINK("https://my.zakupki.prom.ua/remote/dispatcher/state_purchase_view/39167681", "UA-2022-12-08-018283-a")</f>
        <v/>
      </c>
      <c r="C222" t="s" s="2">
        <v>2890</v>
      </c>
      <c r="D222" s="2">
        <f>HYPERLINK("https://my.zakupki.prom.ua/remote/dispatcher/state_contracting_view/14837526", "UA-2022-12-08-018283-a-b1")</f>
        <v/>
      </c>
      <c r="E222" t="s" s="1">
        <v>289</v>
      </c>
      <c r="F222" t="s" s="1">
        <v>2620</v>
      </c>
      <c r="G222" t="s" s="1">
        <v>2996</v>
      </c>
      <c r="H222" t="s" s="1">
        <v>922</v>
      </c>
      <c r="I222" t="s" s="1">
        <v>2017</v>
      </c>
      <c r="J222" t="s" s="1">
        <v>1927</v>
      </c>
      <c r="K222" t="s" s="1">
        <v>320</v>
      </c>
      <c r="L222" t="s" s="1">
        <v>1306</v>
      </c>
      <c r="M222" t="n" s="5">
        <v>297.0</v>
      </c>
      <c r="N222" t="n" s="7">
        <v>44903.0</v>
      </c>
      <c r="O222" t="n" s="7">
        <v>44926.0</v>
      </c>
      <c r="P222" t="s" s="1">
        <v>3259</v>
      </c>
    </row>
    <row r="223" spans="1:16">
      <c r="A223" t="n" s="4">
        <v>219</v>
      </c>
      <c r="B223" s="2">
        <f>HYPERLINK("https://my.zakupki.prom.ua/remote/dispatcher/state_purchase_view/38658158", "UA-2022-11-18-006523-a")</f>
        <v/>
      </c>
      <c r="C223" s="2">
        <f>HYPERLINK("https://my.zakupki.prom.ua/remote/dispatcher/state_purchase_lot_view/790623", "UA-2022-11-18-006523-a-L790623")</f>
        <v/>
      </c>
      <c r="D223" s="2">
        <f>HYPERLINK("https://my.zakupki.prom.ua/remote/dispatcher/state_contracting_view/14769361", "UA-2022-11-18-006523-a-c1")</f>
        <v/>
      </c>
      <c r="E223" t="s" s="1">
        <v>1758</v>
      </c>
      <c r="F223" t="s" s="1">
        <v>2166</v>
      </c>
      <c r="G223" t="s" s="1">
        <v>1914</v>
      </c>
      <c r="H223" t="s" s="1">
        <v>68</v>
      </c>
      <c r="I223" t="s" s="1">
        <v>1934</v>
      </c>
      <c r="J223" t="s" s="1">
        <v>2895</v>
      </c>
      <c r="K223" t="s" s="1">
        <v>777</v>
      </c>
      <c r="L223" t="s" s="1">
        <v>998</v>
      </c>
      <c r="M223" t="n" s="5">
        <v>534000.0</v>
      </c>
      <c r="N223" t="n" s="7">
        <v>44900.0</v>
      </c>
      <c r="O223" t="n" s="7">
        <v>44926.0</v>
      </c>
      <c r="P223" t="s" s="1">
        <v>3259</v>
      </c>
    </row>
    <row r="224" spans="1:16">
      <c r="A224" t="n" s="4">
        <v>220</v>
      </c>
      <c r="B224" s="2">
        <f>HYPERLINK("https://my.zakupki.prom.ua/remote/dispatcher/state_purchase_view/39101604", "UA-2022-12-07-006895-a")</f>
        <v/>
      </c>
      <c r="C224" t="s" s="2">
        <v>2890</v>
      </c>
      <c r="D224" s="2">
        <f>HYPERLINK("https://my.zakupki.prom.ua/remote/dispatcher/state_contracting_view/14806928", "UA-2022-12-07-006895-a-c1")</f>
        <v/>
      </c>
      <c r="E224" t="s" s="1">
        <v>322</v>
      </c>
      <c r="F224" t="s" s="1">
        <v>2461</v>
      </c>
      <c r="G224" t="s" s="1">
        <v>1984</v>
      </c>
      <c r="H224" t="s" s="1">
        <v>650</v>
      </c>
      <c r="I224" t="s" s="1">
        <v>2017</v>
      </c>
      <c r="J224" t="s" s="1">
        <v>3098</v>
      </c>
      <c r="K224" t="s" s="1">
        <v>652</v>
      </c>
      <c r="L224" t="s" s="1">
        <v>468</v>
      </c>
      <c r="M224" t="n" s="5">
        <v>5545.0</v>
      </c>
      <c r="N224" t="n" s="7">
        <v>44901.0</v>
      </c>
      <c r="O224" t="n" s="7">
        <v>44926.0</v>
      </c>
      <c r="P224" t="s" s="1">
        <v>3259</v>
      </c>
    </row>
    <row r="225" spans="1:16">
      <c r="A225" t="n" s="4">
        <v>221</v>
      </c>
      <c r="B225" s="2">
        <f>HYPERLINK("https://my.zakupki.prom.ua/remote/dispatcher/state_purchase_view/39474636", "UA-2022-12-19-001703-a")</f>
        <v/>
      </c>
      <c r="C225" t="s" s="2">
        <v>2890</v>
      </c>
      <c r="D225" s="2">
        <f>HYPERLINK("https://my.zakupki.prom.ua/remote/dispatcher/state_contracting_view/14981218", "UA-2022-12-19-001703-a-b1")</f>
        <v/>
      </c>
      <c r="E225" t="s" s="1">
        <v>1214</v>
      </c>
      <c r="F225" t="s" s="1">
        <v>2282</v>
      </c>
      <c r="G225" t="s" s="1">
        <v>2897</v>
      </c>
      <c r="H225" t="s" s="1">
        <v>549</v>
      </c>
      <c r="I225" t="s" s="1">
        <v>2017</v>
      </c>
      <c r="J225" t="s" s="1">
        <v>1975</v>
      </c>
      <c r="K225" t="s" s="1">
        <v>603</v>
      </c>
      <c r="L225" t="s" s="1">
        <v>539</v>
      </c>
      <c r="M225" t="n" s="5">
        <v>3490.0</v>
      </c>
      <c r="N225" t="n" s="7">
        <v>44914.0</v>
      </c>
      <c r="O225" t="n" s="7">
        <v>44926.0</v>
      </c>
      <c r="P225" t="s" s="1">
        <v>3259</v>
      </c>
    </row>
    <row r="226" spans="1:16">
      <c r="A226" t="n" s="4">
        <v>222</v>
      </c>
      <c r="B226" s="2">
        <f>HYPERLINK("https://my.zakupki.prom.ua/remote/dispatcher/state_purchase_view/39692705", "UA-2022-12-23-013198-a")</f>
        <v/>
      </c>
      <c r="C226" t="s" s="2">
        <v>2890</v>
      </c>
      <c r="D226" s="2">
        <f>HYPERLINK("https://my.zakupki.prom.ua/remote/dispatcher/state_contracting_view/15087085", "UA-2022-12-23-013198-a-b1")</f>
        <v/>
      </c>
      <c r="E226" t="s" s="1">
        <v>1515</v>
      </c>
      <c r="F226" t="s" s="1">
        <v>2626</v>
      </c>
      <c r="G226" t="s" s="1">
        <v>2004</v>
      </c>
      <c r="H226" t="s" s="1">
        <v>931</v>
      </c>
      <c r="I226" t="s" s="1">
        <v>2017</v>
      </c>
      <c r="J226" t="s" s="1">
        <v>1927</v>
      </c>
      <c r="K226" t="s" s="1">
        <v>320</v>
      </c>
      <c r="L226" t="s" s="1">
        <v>1339</v>
      </c>
      <c r="M226" t="n" s="5">
        <v>2138.0</v>
      </c>
      <c r="N226" t="n" s="7">
        <v>44918.0</v>
      </c>
      <c r="O226" t="n" s="7">
        <v>44926.0</v>
      </c>
      <c r="P226" t="s" s="1">
        <v>3259</v>
      </c>
    </row>
    <row r="227" spans="1:16">
      <c r="A227" t="n" s="4">
        <v>223</v>
      </c>
      <c r="B227" s="2">
        <f>HYPERLINK("https://my.zakupki.prom.ua/remote/dispatcher/state_purchase_view/35864739", "UA-2022-04-07-003086-b")</f>
        <v/>
      </c>
      <c r="C227" t="s" s="2">
        <v>2890</v>
      </c>
      <c r="D227" s="2">
        <f>HYPERLINK("https://my.zakupki.prom.ua/remote/dispatcher/state_contracting_view/13237309", "UA-2022-04-07-003086-b-b1")</f>
        <v/>
      </c>
      <c r="E227" t="s" s="1">
        <v>1730</v>
      </c>
      <c r="F227" t="s" s="1">
        <v>2101</v>
      </c>
      <c r="G227" t="s" s="1">
        <v>2886</v>
      </c>
      <c r="H227" t="s" s="1">
        <v>650</v>
      </c>
      <c r="I227" t="s" s="1">
        <v>2017</v>
      </c>
      <c r="J227" t="s" s="1">
        <v>3113</v>
      </c>
      <c r="K227" t="s" s="1">
        <v>398</v>
      </c>
      <c r="L227" t="s" s="1">
        <v>334</v>
      </c>
      <c r="M227" t="n" s="5">
        <v>62487.04</v>
      </c>
      <c r="N227" t="n" s="7">
        <v>44658.0</v>
      </c>
      <c r="O227" t="n" s="7">
        <v>44926.0</v>
      </c>
      <c r="P227" t="s" s="1">
        <v>3259</v>
      </c>
    </row>
    <row r="228" spans="1:16">
      <c r="A228" t="n" s="4">
        <v>224</v>
      </c>
      <c r="B228" s="2">
        <f>HYPERLINK("https://my.zakupki.prom.ua/remote/dispatcher/state_purchase_view/35638007", "UA-2022-03-14-001946-a")</f>
        <v/>
      </c>
      <c r="C228" t="s" s="2">
        <v>2890</v>
      </c>
      <c r="D228" s="2">
        <f>HYPERLINK("https://my.zakupki.prom.ua/remote/dispatcher/state_contracting_view/13117367", "UA-2022-03-14-001946-a-a1")</f>
        <v/>
      </c>
      <c r="E228" t="s" s="1">
        <v>281</v>
      </c>
      <c r="F228" t="s" s="1">
        <v>2424</v>
      </c>
      <c r="G228" t="s" s="1">
        <v>3162</v>
      </c>
      <c r="H228" t="s" s="1">
        <v>650</v>
      </c>
      <c r="I228" t="s" s="1">
        <v>2017</v>
      </c>
      <c r="J228" t="s" s="1">
        <v>3113</v>
      </c>
      <c r="K228" t="s" s="1">
        <v>398</v>
      </c>
      <c r="L228" t="s" s="1">
        <v>200</v>
      </c>
      <c r="M228" t="n" s="5">
        <v>33342.2</v>
      </c>
      <c r="N228" t="n" s="7">
        <v>44630.0</v>
      </c>
      <c r="O228" t="n" s="7">
        <v>44926.0</v>
      </c>
      <c r="P228" t="s" s="1">
        <v>3259</v>
      </c>
    </row>
    <row r="229" spans="1:16">
      <c r="A229" t="n" s="4">
        <v>225</v>
      </c>
      <c r="B229" s="2">
        <f>HYPERLINK("https://my.zakupki.prom.ua/remote/dispatcher/state_purchase_view/36708879", "UA-2022-07-18-003422-a")</f>
        <v/>
      </c>
      <c r="C229" t="s" s="2">
        <v>2890</v>
      </c>
      <c r="D229" s="2">
        <f>HYPERLINK("https://my.zakupki.prom.ua/remote/dispatcher/state_contracting_view/13662457", "UA-2022-07-18-003422-a-b1")</f>
        <v/>
      </c>
      <c r="E229" t="s" s="1">
        <v>1689</v>
      </c>
      <c r="F229" t="s" s="1">
        <v>2772</v>
      </c>
      <c r="G229" t="s" s="1">
        <v>2772</v>
      </c>
      <c r="H229" t="s" s="1">
        <v>1445</v>
      </c>
      <c r="I229" t="s" s="1">
        <v>2017</v>
      </c>
      <c r="J229" t="s" s="1">
        <v>2038</v>
      </c>
      <c r="K229" t="s" s="1">
        <v>17</v>
      </c>
      <c r="L229" t="s" s="1">
        <v>778</v>
      </c>
      <c r="M229" t="n" s="5">
        <v>19564.66</v>
      </c>
      <c r="N229" t="n" s="7">
        <v>44760.0</v>
      </c>
      <c r="O229" t="n" s="7">
        <v>44926.0</v>
      </c>
      <c r="P229" t="s" s="1">
        <v>3259</v>
      </c>
    </row>
    <row r="230" spans="1:16">
      <c r="A230" t="n" s="4">
        <v>226</v>
      </c>
      <c r="B230" s="2">
        <f>HYPERLINK("https://my.zakupki.prom.ua/remote/dispatcher/state_purchase_view/36744815", "UA-2022-07-20-004770-a")</f>
        <v/>
      </c>
      <c r="C230" t="s" s="2">
        <v>2890</v>
      </c>
      <c r="D230" s="2">
        <f>HYPERLINK("https://my.zakupki.prom.ua/remote/dispatcher/state_contracting_view/13679007", "UA-2022-07-20-004770-a-b1")</f>
        <v/>
      </c>
      <c r="E230" t="s" s="1">
        <v>1619</v>
      </c>
      <c r="F230" t="s" s="1">
        <v>2227</v>
      </c>
      <c r="G230" t="s" s="1">
        <v>2927</v>
      </c>
      <c r="H230" t="s" s="1">
        <v>271</v>
      </c>
      <c r="I230" t="s" s="1">
        <v>2017</v>
      </c>
      <c r="J230" t="s" s="1">
        <v>2904</v>
      </c>
      <c r="K230" t="s" s="1">
        <v>688</v>
      </c>
      <c r="L230" t="s" s="1">
        <v>844</v>
      </c>
      <c r="M230" t="n" s="5">
        <v>50.0</v>
      </c>
      <c r="N230" t="n" s="7">
        <v>44762.0</v>
      </c>
      <c r="O230" t="n" s="7">
        <v>44926.0</v>
      </c>
      <c r="P230" t="s" s="1">
        <v>3259</v>
      </c>
    </row>
    <row r="231" spans="1:16">
      <c r="A231" t="n" s="4">
        <v>227</v>
      </c>
      <c r="B231" s="2">
        <f>HYPERLINK("https://my.zakupki.prom.ua/remote/dispatcher/state_purchase_view/37409261", "UA-2022-09-08-002213-a")</f>
        <v/>
      </c>
      <c r="C231" t="s" s="2">
        <v>2890</v>
      </c>
      <c r="D231" s="2">
        <f>HYPERLINK("https://my.zakupki.prom.ua/remote/dispatcher/state_contracting_view/13997330", "UA-2022-09-08-002213-a-b1")</f>
        <v/>
      </c>
      <c r="E231" t="s" s="1">
        <v>1394</v>
      </c>
      <c r="F231" t="s" s="1">
        <v>2457</v>
      </c>
      <c r="G231" t="s" s="1">
        <v>1932</v>
      </c>
      <c r="H231" t="s" s="1">
        <v>650</v>
      </c>
      <c r="I231" t="s" s="1">
        <v>2017</v>
      </c>
      <c r="J231" t="s" s="1">
        <v>3113</v>
      </c>
      <c r="K231" t="s" s="1">
        <v>398</v>
      </c>
      <c r="L231" t="s" s="1">
        <v>1041</v>
      </c>
      <c r="M231" t="n" s="5">
        <v>1981.5</v>
      </c>
      <c r="N231" t="n" s="7">
        <v>44812.0</v>
      </c>
      <c r="O231" t="n" s="7">
        <v>44926.0</v>
      </c>
      <c r="P231" t="s" s="1">
        <v>3259</v>
      </c>
    </row>
    <row r="232" spans="1:16">
      <c r="A232" t="n" s="4">
        <v>228</v>
      </c>
      <c r="B232" s="2">
        <f>HYPERLINK("https://my.zakupki.prom.ua/remote/dispatcher/state_purchase_view/37640108", "UA-2022-09-22-004796-a")</f>
        <v/>
      </c>
      <c r="C232" t="s" s="2">
        <v>2890</v>
      </c>
      <c r="D232" s="2">
        <f>HYPERLINK("https://my.zakupki.prom.ua/remote/dispatcher/state_contracting_view/14110113", "UA-2022-09-22-004796-a-b1")</f>
        <v/>
      </c>
      <c r="E232" t="s" s="1">
        <v>795</v>
      </c>
      <c r="F232" t="s" s="1">
        <v>2752</v>
      </c>
      <c r="G232" t="s" s="1">
        <v>3148</v>
      </c>
      <c r="H232" t="s" s="1">
        <v>1421</v>
      </c>
      <c r="I232" t="s" s="1">
        <v>2017</v>
      </c>
      <c r="J232" t="s" s="1">
        <v>1979</v>
      </c>
      <c r="K232" t="s" s="1">
        <v>41</v>
      </c>
      <c r="L232" t="s" s="1">
        <v>569</v>
      </c>
      <c r="M232" t="n" s="5">
        <v>5651.16</v>
      </c>
      <c r="N232" t="n" s="7">
        <v>44826.0</v>
      </c>
      <c r="O232" t="n" s="7">
        <v>44926.0</v>
      </c>
      <c r="P232" t="s" s="1">
        <v>3259</v>
      </c>
    </row>
    <row r="233" spans="1:16">
      <c r="A233" t="n" s="4">
        <v>229</v>
      </c>
      <c r="B233" s="2">
        <f>HYPERLINK("https://my.zakupki.prom.ua/remote/dispatcher/state_purchase_view/39536225", "UA-2022-12-20-008967-a")</f>
        <v/>
      </c>
      <c r="C233" t="s" s="2">
        <v>2890</v>
      </c>
      <c r="D233" s="2">
        <f>HYPERLINK("https://my.zakupki.prom.ua/remote/dispatcher/state_contracting_view/15011491", "UA-2022-12-20-008967-a-a1")</f>
        <v/>
      </c>
      <c r="E233" t="s" s="1">
        <v>1403</v>
      </c>
      <c r="F233" t="s" s="1">
        <v>2463</v>
      </c>
      <c r="G233" t="s" s="1">
        <v>2061</v>
      </c>
      <c r="H233" t="s" s="1">
        <v>650</v>
      </c>
      <c r="I233" t="s" s="1">
        <v>2017</v>
      </c>
      <c r="J233" t="s" s="1">
        <v>3124</v>
      </c>
      <c r="K233" t="s" s="1">
        <v>337</v>
      </c>
      <c r="L233" t="s" s="1">
        <v>588</v>
      </c>
      <c r="M233" t="n" s="5">
        <v>2889.0</v>
      </c>
      <c r="N233" t="n" s="7">
        <v>44914.0</v>
      </c>
      <c r="O233" t="n" s="7">
        <v>44926.0</v>
      </c>
      <c r="P233" t="s" s="1">
        <v>3259</v>
      </c>
    </row>
    <row r="234" spans="1:16">
      <c r="A234" t="n" s="4">
        <v>230</v>
      </c>
      <c r="B234" s="2">
        <f>HYPERLINK("https://my.zakupki.prom.ua/remote/dispatcher/state_purchase_view/39571084", "UA-2022-12-21-001902-a")</f>
        <v/>
      </c>
      <c r="C234" t="s" s="2">
        <v>2890</v>
      </c>
      <c r="D234" s="2">
        <f>HYPERLINK("https://my.zakupki.prom.ua/remote/dispatcher/state_contracting_view/15028125", "UA-2022-12-21-001902-a-c1")</f>
        <v/>
      </c>
      <c r="E234" t="s" s="1">
        <v>44</v>
      </c>
      <c r="F234" t="s" s="1">
        <v>2176</v>
      </c>
      <c r="G234" t="s" s="1">
        <v>2176</v>
      </c>
      <c r="H234" t="s" s="1">
        <v>72</v>
      </c>
      <c r="I234" t="s" s="1">
        <v>2017</v>
      </c>
      <c r="J234" t="s" s="1">
        <v>3103</v>
      </c>
      <c r="K234" t="s" s="1">
        <v>733</v>
      </c>
      <c r="L234" t="s" s="1">
        <v>1325</v>
      </c>
      <c r="M234" t="n" s="5">
        <v>1263595.46</v>
      </c>
      <c r="N234" t="n" s="7">
        <v>44915.0</v>
      </c>
      <c r="O234" t="n" s="7">
        <v>44926.0</v>
      </c>
      <c r="P234" t="s" s="1">
        <v>3259</v>
      </c>
    </row>
    <row r="235" spans="1:16">
      <c r="A235" t="n" s="4">
        <v>231</v>
      </c>
      <c r="B235" s="2">
        <f>HYPERLINK("https://my.zakupki.prom.ua/remote/dispatcher/state_purchase_view/39574706", "UA-2022-12-21-003681-a")</f>
        <v/>
      </c>
      <c r="C235" t="s" s="2">
        <v>2890</v>
      </c>
      <c r="D235" s="2">
        <f>HYPERLINK("https://my.zakupki.prom.ua/remote/dispatcher/state_contracting_view/15029998", "UA-2022-12-21-003681-a-b1")</f>
        <v/>
      </c>
      <c r="E235" t="s" s="1">
        <v>1602</v>
      </c>
      <c r="F235" t="s" s="1">
        <v>2532</v>
      </c>
      <c r="G235" t="s" s="1">
        <v>2814</v>
      </c>
      <c r="H235" t="s" s="1">
        <v>774</v>
      </c>
      <c r="I235" t="s" s="1">
        <v>2017</v>
      </c>
      <c r="J235" t="s" s="1">
        <v>3237</v>
      </c>
      <c r="K235" t="s" s="1">
        <v>687</v>
      </c>
      <c r="L235" t="s" s="1">
        <v>1327</v>
      </c>
      <c r="M235" t="n" s="5">
        <v>11738.0</v>
      </c>
      <c r="N235" t="n" s="7">
        <v>44915.0</v>
      </c>
      <c r="O235" t="n" s="7">
        <v>44926.0</v>
      </c>
      <c r="P235" t="s" s="1">
        <v>3259</v>
      </c>
    </row>
    <row r="236" spans="1:16">
      <c r="A236" t="n" s="4">
        <v>232</v>
      </c>
      <c r="B236" s="2">
        <f>HYPERLINK("https://my.zakupki.prom.ua/remote/dispatcher/state_purchase_view/38937115", "UA-2022-12-01-004305-a")</f>
        <v/>
      </c>
      <c r="C236" t="s" s="2">
        <v>2890</v>
      </c>
      <c r="D236" s="2">
        <f>HYPERLINK("https://my.zakupki.prom.ua/remote/dispatcher/state_contracting_view/14731614", "UA-2022-12-01-004305-a-b1")</f>
        <v/>
      </c>
      <c r="E236" t="s" s="1">
        <v>1744</v>
      </c>
      <c r="F236" t="s" s="1">
        <v>2733</v>
      </c>
      <c r="G236" t="s" s="1">
        <v>2942</v>
      </c>
      <c r="H236" t="s" s="1">
        <v>1322</v>
      </c>
      <c r="I236" t="s" s="1">
        <v>2017</v>
      </c>
      <c r="J236" t="s" s="1">
        <v>1970</v>
      </c>
      <c r="K236" t="s" s="1">
        <v>40</v>
      </c>
      <c r="L236" t="s" s="1">
        <v>329</v>
      </c>
      <c r="M236" t="n" s="5">
        <v>6458.46</v>
      </c>
      <c r="N236" t="n" s="7">
        <v>44895.0</v>
      </c>
      <c r="O236" t="n" s="7">
        <v>44926.0</v>
      </c>
      <c r="P236" t="s" s="1">
        <v>3259</v>
      </c>
    </row>
    <row r="237" spans="1:16">
      <c r="A237" t="n" s="4">
        <v>233</v>
      </c>
      <c r="B237" s="2">
        <f>HYPERLINK("https://my.zakupki.prom.ua/remote/dispatcher/state_purchase_view/38648507", "UA-2022-11-18-001704-a")</f>
        <v/>
      </c>
      <c r="C237" t="s" s="2">
        <v>2890</v>
      </c>
      <c r="D237" s="2">
        <f>HYPERLINK("https://my.zakupki.prom.ua/remote/dispatcher/state_contracting_view/14599192", "UA-2022-11-18-001704-a-b1")</f>
        <v/>
      </c>
      <c r="E237" t="s" s="1">
        <v>1462</v>
      </c>
      <c r="F237" t="s" s="1">
        <v>2242</v>
      </c>
      <c r="G237" t="s" s="1">
        <v>2242</v>
      </c>
      <c r="H237" t="s" s="1">
        <v>377</v>
      </c>
      <c r="I237" t="s" s="1">
        <v>2017</v>
      </c>
      <c r="J237" t="s" s="1">
        <v>1951</v>
      </c>
      <c r="K237" t="s" s="1">
        <v>560</v>
      </c>
      <c r="L237" t="s" s="1">
        <v>1234</v>
      </c>
      <c r="M237" t="n" s="5">
        <v>1088.0</v>
      </c>
      <c r="N237" t="n" s="7">
        <v>44882.0</v>
      </c>
      <c r="O237" t="n" s="7">
        <v>44926.0</v>
      </c>
      <c r="P237" t="s" s="1">
        <v>3259</v>
      </c>
    </row>
    <row r="238" spans="1:16">
      <c r="A238" t="n" s="4">
        <v>234</v>
      </c>
      <c r="B238" s="2">
        <f>HYPERLINK("https://my.zakupki.prom.ua/remote/dispatcher/state_purchase_view/38090413", "UA-2022-10-21-001011-a")</f>
        <v/>
      </c>
      <c r="C238" t="s" s="2">
        <v>2890</v>
      </c>
      <c r="D238" s="2">
        <f>HYPERLINK("https://my.zakupki.prom.ua/remote/dispatcher/state_contracting_view/14332885", "UA-2022-10-21-001011-a-b1")</f>
        <v/>
      </c>
      <c r="E238" t="s" s="1">
        <v>1144</v>
      </c>
      <c r="F238" t="s" s="1">
        <v>2655</v>
      </c>
      <c r="G238" t="s" s="1">
        <v>2948</v>
      </c>
      <c r="H238" t="s" s="1">
        <v>984</v>
      </c>
      <c r="I238" t="s" s="1">
        <v>2017</v>
      </c>
      <c r="J238" t="s" s="1">
        <v>3116</v>
      </c>
      <c r="K238" t="s" s="1">
        <v>770</v>
      </c>
      <c r="L238" t="s" s="1">
        <v>355</v>
      </c>
      <c r="M238" t="n" s="5">
        <v>9936.0</v>
      </c>
      <c r="N238" t="n" s="7">
        <v>44855.0</v>
      </c>
      <c r="O238" t="n" s="7">
        <v>44926.0</v>
      </c>
      <c r="P238" t="s" s="1">
        <v>3259</v>
      </c>
    </row>
    <row r="239" spans="1:16">
      <c r="A239" t="n" s="4">
        <v>235</v>
      </c>
      <c r="B239" s="2">
        <f>HYPERLINK("https://my.zakupki.prom.ua/remote/dispatcher/state_purchase_view/38781470", "UA-2022-11-24-003464-a")</f>
        <v/>
      </c>
      <c r="C239" t="s" s="2">
        <v>2890</v>
      </c>
      <c r="D239" s="2">
        <f>HYPERLINK("https://my.zakupki.prom.ua/remote/dispatcher/state_contracting_view/14661059", "UA-2022-11-24-003464-a-c1")</f>
        <v/>
      </c>
      <c r="E239" t="s" s="1">
        <v>1836</v>
      </c>
      <c r="F239" t="s" s="1">
        <v>2245</v>
      </c>
      <c r="G239" t="s" s="1">
        <v>2245</v>
      </c>
      <c r="H239" t="s" s="1">
        <v>377</v>
      </c>
      <c r="I239" t="s" s="1">
        <v>2017</v>
      </c>
      <c r="J239" t="s" s="1">
        <v>1951</v>
      </c>
      <c r="K239" t="s" s="1">
        <v>560</v>
      </c>
      <c r="L239" t="s" s="1">
        <v>1250</v>
      </c>
      <c r="M239" t="n" s="5">
        <v>1030.0</v>
      </c>
      <c r="N239" t="n" s="7">
        <v>44889.0</v>
      </c>
      <c r="O239" t="n" s="7">
        <v>44926.0</v>
      </c>
      <c r="P239" t="s" s="1">
        <v>3259</v>
      </c>
    </row>
    <row r="240" spans="1:16">
      <c r="A240" t="n" s="4">
        <v>236</v>
      </c>
      <c r="B240" s="2">
        <f>HYPERLINK("https://my.zakupki.prom.ua/remote/dispatcher/state_purchase_view/35802477", "UA-2022-03-31-002302-b")</f>
        <v/>
      </c>
      <c r="C240" t="s" s="2">
        <v>2890</v>
      </c>
      <c r="D240" s="2">
        <f>HYPERLINK("https://my.zakupki.prom.ua/remote/dispatcher/state_contracting_view/13204910", "UA-2022-03-31-002302-b-b1")</f>
        <v/>
      </c>
      <c r="E240" t="s" s="1">
        <v>1654</v>
      </c>
      <c r="F240" t="s" s="1">
        <v>2093</v>
      </c>
      <c r="G240" t="s" s="1">
        <v>2093</v>
      </c>
      <c r="H240" t="s" s="1">
        <v>578</v>
      </c>
      <c r="I240" t="s" s="1">
        <v>2017</v>
      </c>
      <c r="J240" t="s" s="1">
        <v>3237</v>
      </c>
      <c r="K240" t="s" s="1">
        <v>687</v>
      </c>
      <c r="L240" t="s" s="1">
        <v>311</v>
      </c>
      <c r="M240" t="n" s="5">
        <v>1330.0</v>
      </c>
      <c r="N240" t="n" s="7">
        <v>44651.0</v>
      </c>
      <c r="O240" t="n" s="7">
        <v>44926.0</v>
      </c>
      <c r="P240" t="s" s="1">
        <v>3259</v>
      </c>
    </row>
    <row r="241" spans="1:16">
      <c r="A241" t="n" s="4">
        <v>237</v>
      </c>
      <c r="B241" s="2">
        <f>HYPERLINK("https://my.zakupki.prom.ua/remote/dispatcher/state_purchase_view/35686506", "UA-2022-03-18-000553-a")</f>
        <v/>
      </c>
      <c r="C241" t="s" s="2">
        <v>2890</v>
      </c>
      <c r="D241" s="2">
        <f>HYPERLINK("https://my.zakupki.prom.ua/remote/dispatcher/state_contracting_view/13143508", "UA-2022-03-18-000553-a-a1")</f>
        <v/>
      </c>
      <c r="E241" t="s" s="1">
        <v>1013</v>
      </c>
      <c r="F241" t="s" s="1">
        <v>2240</v>
      </c>
      <c r="G241" t="s" s="1">
        <v>2240</v>
      </c>
      <c r="H241" t="s" s="1">
        <v>370</v>
      </c>
      <c r="I241" t="s" s="1">
        <v>2017</v>
      </c>
      <c r="J241" t="s" s="1">
        <v>3098</v>
      </c>
      <c r="K241" t="s" s="1">
        <v>652</v>
      </c>
      <c r="L241" t="s" s="1">
        <v>227</v>
      </c>
      <c r="M241" t="n" s="5">
        <v>30.0</v>
      </c>
      <c r="N241" t="n" s="7">
        <v>44637.0</v>
      </c>
      <c r="O241" t="n" s="7">
        <v>44926.0</v>
      </c>
      <c r="P241" t="s" s="1">
        <v>3259</v>
      </c>
    </row>
    <row r="242" spans="1:16">
      <c r="A242" t="n" s="4">
        <v>238</v>
      </c>
      <c r="B242" s="2">
        <f>HYPERLINK("https://my.zakupki.prom.ua/remote/dispatcher/state_purchase_view/34450110", "UA-2022-01-26-000783-b")</f>
        <v/>
      </c>
      <c r="C242" t="s" s="2">
        <v>2890</v>
      </c>
      <c r="D242" s="2">
        <f>HYPERLINK("https://my.zakupki.prom.ua/remote/dispatcher/state_contracting_view/12552148", "UA-2022-01-26-000783-b-b1")</f>
        <v/>
      </c>
      <c r="E242" t="s" s="1">
        <v>763</v>
      </c>
      <c r="F242" t="s" s="1">
        <v>2316</v>
      </c>
      <c r="G242" t="s" s="1">
        <v>2316</v>
      </c>
      <c r="H242" t="s" s="1">
        <v>618</v>
      </c>
      <c r="I242" t="s" s="1">
        <v>2017</v>
      </c>
      <c r="J242" t="s" s="1">
        <v>3120</v>
      </c>
      <c r="K242" t="s" s="1">
        <v>741</v>
      </c>
      <c r="L242" t="s" s="1">
        <v>94</v>
      </c>
      <c r="M242" t="n" s="5">
        <v>695.0</v>
      </c>
      <c r="N242" t="n" s="7">
        <v>44587.0</v>
      </c>
      <c r="O242" t="n" s="7">
        <v>44926.0</v>
      </c>
      <c r="P242" t="s" s="1">
        <v>3259</v>
      </c>
    </row>
    <row r="243" spans="1:16">
      <c r="A243" t="n" s="4">
        <v>239</v>
      </c>
      <c r="B243" s="2">
        <f>HYPERLINK("https://my.zakupki.prom.ua/remote/dispatcher/state_purchase_view/34535424", "UA-2022-01-27-008514-b")</f>
        <v/>
      </c>
      <c r="C243" t="s" s="2">
        <v>2890</v>
      </c>
      <c r="D243" s="2">
        <f>HYPERLINK("https://my.zakupki.prom.ua/remote/dispatcher/state_contracting_view/12591027", "UA-2022-01-27-008514-b-b1")</f>
        <v/>
      </c>
      <c r="E243" t="s" s="1">
        <v>439</v>
      </c>
      <c r="F243" t="s" s="1">
        <v>2190</v>
      </c>
      <c r="G243" t="s" s="1">
        <v>2190</v>
      </c>
      <c r="H243" t="s" s="1">
        <v>179</v>
      </c>
      <c r="I243" t="s" s="1">
        <v>2017</v>
      </c>
      <c r="J243" t="s" s="1">
        <v>3237</v>
      </c>
      <c r="K243" t="s" s="1">
        <v>687</v>
      </c>
      <c r="L243" t="s" s="1">
        <v>852</v>
      </c>
      <c r="M243" t="n" s="5">
        <v>26970.0</v>
      </c>
      <c r="N243" t="n" s="7">
        <v>44588.0</v>
      </c>
      <c r="O243" t="n" s="7">
        <v>44926.0</v>
      </c>
      <c r="P243" t="s" s="1">
        <v>3259</v>
      </c>
    </row>
    <row r="244" spans="1:16">
      <c r="A244" t="n" s="4">
        <v>240</v>
      </c>
      <c r="B244" s="2">
        <f>HYPERLINK("https://my.zakupki.prom.ua/remote/dispatcher/state_purchase_view/35500128", "UA-2022-02-24-000385-a")</f>
        <v/>
      </c>
      <c r="C244" t="s" s="2">
        <v>2890</v>
      </c>
      <c r="D244" s="2">
        <f>HYPERLINK("https://my.zakupki.prom.ua/remote/dispatcher/state_contracting_view/13045817", "UA-2022-02-24-000385-a-a1")</f>
        <v/>
      </c>
      <c r="E244" t="s" s="1">
        <v>630</v>
      </c>
      <c r="F244" t="s" s="1">
        <v>2251</v>
      </c>
      <c r="G244" t="s" s="1">
        <v>2251</v>
      </c>
      <c r="H244" t="s" s="1">
        <v>378</v>
      </c>
      <c r="I244" t="s" s="1">
        <v>2017</v>
      </c>
      <c r="J244" t="s" s="1">
        <v>1952</v>
      </c>
      <c r="K244" t="s" s="1">
        <v>540</v>
      </c>
      <c r="L244" t="s" s="1">
        <v>130</v>
      </c>
      <c r="M244" t="n" s="5">
        <v>660.0</v>
      </c>
      <c r="N244" t="n" s="7">
        <v>44616.0</v>
      </c>
      <c r="O244" t="n" s="7">
        <v>44926.0</v>
      </c>
      <c r="P244" t="s" s="1">
        <v>3259</v>
      </c>
    </row>
    <row r="245" spans="1:16">
      <c r="A245" t="n" s="4">
        <v>241</v>
      </c>
      <c r="B245" s="2">
        <f>HYPERLINK("https://my.zakupki.prom.ua/remote/dispatcher/state_purchase_view/33311350", "UA-2021-12-17-012584-c")</f>
        <v/>
      </c>
      <c r="C245" t="s" s="2">
        <v>2890</v>
      </c>
      <c r="D245" s="2">
        <f>HYPERLINK("https://my.zakupki.prom.ua/remote/dispatcher/state_contracting_view/12394815", "UA-2021-12-17-012584-c-c1")</f>
        <v/>
      </c>
      <c r="E245" t="s" s="1">
        <v>5</v>
      </c>
      <c r="F245" t="s" s="1">
        <v>1862</v>
      </c>
      <c r="G245" t="s" s="1">
        <v>2123</v>
      </c>
      <c r="H245" t="s" s="1">
        <v>984</v>
      </c>
      <c r="I245" t="s" s="1">
        <v>3022</v>
      </c>
      <c r="J245" t="s" s="1">
        <v>3101</v>
      </c>
      <c r="K245" t="s" s="1">
        <v>845</v>
      </c>
      <c r="L245" t="s" s="1">
        <v>140</v>
      </c>
      <c r="M245" t="n" s="5">
        <v>186300.0</v>
      </c>
      <c r="N245" t="n" s="7">
        <v>44575.0</v>
      </c>
      <c r="O245" t="n" s="7">
        <v>44926.0</v>
      </c>
      <c r="P245" t="s" s="1">
        <v>3259</v>
      </c>
    </row>
    <row r="246" spans="1:16">
      <c r="A246" t="n" s="4">
        <v>242</v>
      </c>
      <c r="B246" s="2">
        <f>HYPERLINK("https://my.zakupki.prom.ua/remote/dispatcher/state_purchase_view/34143328", "UA-2022-01-18-000551-a")</f>
        <v/>
      </c>
      <c r="C246" t="s" s="2">
        <v>2890</v>
      </c>
      <c r="D246" s="2">
        <f>HYPERLINK("https://my.zakupki.prom.ua/remote/dispatcher/state_contracting_view/12416256", "UA-2022-01-18-000551-a-a1")</f>
        <v/>
      </c>
      <c r="E246" t="s" s="1">
        <v>1843</v>
      </c>
      <c r="F246" t="s" s="1">
        <v>2743</v>
      </c>
      <c r="G246" t="s" s="1">
        <v>2743</v>
      </c>
      <c r="H246" t="s" s="1">
        <v>1420</v>
      </c>
      <c r="I246" t="s" s="1">
        <v>2017</v>
      </c>
      <c r="J246" t="s" s="1">
        <v>3078</v>
      </c>
      <c r="K246" t="s" s="1">
        <v>649</v>
      </c>
      <c r="L246" t="s" s="1">
        <v>893</v>
      </c>
      <c r="M246" t="n" s="5">
        <v>2900.0</v>
      </c>
      <c r="N246" t="n" s="7">
        <v>44578.0</v>
      </c>
      <c r="O246" t="n" s="7">
        <v>44926.0</v>
      </c>
      <c r="P246" t="s" s="1">
        <v>3259</v>
      </c>
    </row>
    <row r="247" spans="1:16">
      <c r="A247" t="n" s="4">
        <v>243</v>
      </c>
      <c r="B247" s="2">
        <f>HYPERLINK("https://my.zakupki.prom.ua/remote/dispatcher/state_purchase_view/34144686", "UA-2022-01-18-000881-a")</f>
        <v/>
      </c>
      <c r="C247" t="s" s="2">
        <v>2890</v>
      </c>
      <c r="D247" s="2">
        <f>HYPERLINK("https://my.zakupki.prom.ua/remote/dispatcher/state_contracting_view/12416851", "UA-2022-01-18-000881-a-a1")</f>
        <v/>
      </c>
      <c r="E247" t="s" s="1">
        <v>1796</v>
      </c>
      <c r="F247" t="s" s="1">
        <v>2281</v>
      </c>
      <c r="G247" t="s" s="1">
        <v>1908</v>
      </c>
      <c r="H247" t="s" s="1">
        <v>549</v>
      </c>
      <c r="I247" t="s" s="1">
        <v>2017</v>
      </c>
      <c r="J247" t="s" s="1">
        <v>1950</v>
      </c>
      <c r="K247" t="s" s="1">
        <v>676</v>
      </c>
      <c r="L247" t="s" s="1">
        <v>110</v>
      </c>
      <c r="M247" t="n" s="5">
        <v>19755.0</v>
      </c>
      <c r="N247" t="n" s="7">
        <v>44579.0</v>
      </c>
      <c r="O247" t="n" s="7">
        <v>44926.0</v>
      </c>
      <c r="P247" t="s" s="1">
        <v>3259</v>
      </c>
    </row>
    <row r="248" spans="1:16">
      <c r="A248" t="n" s="4">
        <v>244</v>
      </c>
      <c r="B248" s="2">
        <f>HYPERLINK("https://my.zakupki.prom.ua/remote/dispatcher/state_purchase_view/34157309", "UA-2022-01-18-004226-a")</f>
        <v/>
      </c>
      <c r="C248" t="s" s="2">
        <v>2890</v>
      </c>
      <c r="D248" s="2">
        <f>HYPERLINK("https://my.zakupki.prom.ua/remote/dispatcher/state_contracting_view/12719288", "UA-2022-01-18-004226-a-a1")</f>
        <v/>
      </c>
      <c r="E248" t="s" s="1">
        <v>1215</v>
      </c>
      <c r="F248" t="s" s="1">
        <v>2176</v>
      </c>
      <c r="G248" t="s" s="1">
        <v>2176</v>
      </c>
      <c r="H248" t="s" s="1">
        <v>72</v>
      </c>
      <c r="I248" t="s" s="1">
        <v>2933</v>
      </c>
      <c r="J248" t="s" s="1">
        <v>3072</v>
      </c>
      <c r="K248" t="s" s="1">
        <v>733</v>
      </c>
      <c r="L248" t="s" s="1">
        <v>1154</v>
      </c>
      <c r="M248" t="n" s="5">
        <v>2097900.0</v>
      </c>
      <c r="N248" t="n" s="7">
        <v>44595.0</v>
      </c>
      <c r="O248" t="n" s="7">
        <v>44926.0</v>
      </c>
      <c r="P248" t="s" s="1">
        <v>3259</v>
      </c>
    </row>
    <row r="249" spans="1:16">
      <c r="A249" t="n" s="4">
        <v>245</v>
      </c>
      <c r="B249" s="2">
        <f>HYPERLINK("https://my.zakupki.prom.ua/remote/dispatcher/state_purchase_view/34924128", "UA-2022-02-08-001019-b")</f>
        <v/>
      </c>
      <c r="C249" t="s" s="2">
        <v>2890</v>
      </c>
      <c r="D249" s="2">
        <f>HYPERLINK("https://my.zakupki.prom.ua/remote/dispatcher/state_contracting_view/12769348", "UA-2022-02-08-001019-b-b1")</f>
        <v/>
      </c>
      <c r="E249" t="s" s="1">
        <v>1655</v>
      </c>
      <c r="F249" t="s" s="1">
        <v>2235</v>
      </c>
      <c r="G249" t="s" s="1">
        <v>2234</v>
      </c>
      <c r="H249" t="s" s="1">
        <v>363</v>
      </c>
      <c r="I249" t="s" s="1">
        <v>2017</v>
      </c>
      <c r="J249" t="s" s="1">
        <v>2837</v>
      </c>
      <c r="K249" t="s" s="1">
        <v>461</v>
      </c>
      <c r="L249" t="s" s="1">
        <v>1269</v>
      </c>
      <c r="M249" t="n" s="5">
        <v>7330.0</v>
      </c>
      <c r="N249" t="n" s="7">
        <v>44600.0</v>
      </c>
      <c r="O249" t="n" s="7">
        <v>44926.0</v>
      </c>
      <c r="P249" t="s" s="1">
        <v>3259</v>
      </c>
    </row>
    <row r="250" spans="1:16">
      <c r="A250" t="n" s="4">
        <v>246</v>
      </c>
      <c r="B250" s="2">
        <f>HYPERLINK("https://my.zakupki.prom.ua/remote/dispatcher/state_purchase_view/34794892", "UA-2022-02-03-007030-b")</f>
        <v/>
      </c>
      <c r="C250" t="s" s="2">
        <v>2890</v>
      </c>
      <c r="D250" s="2">
        <f>HYPERLINK("https://my.zakupki.prom.ua/remote/dispatcher/state_contracting_view/12719101", "UA-2022-02-03-007030-b-b1")</f>
        <v/>
      </c>
      <c r="E250" t="s" s="1">
        <v>1131</v>
      </c>
      <c r="F250" t="s" s="1">
        <v>2202</v>
      </c>
      <c r="G250" t="s" s="1">
        <v>2202</v>
      </c>
      <c r="H250" t="s" s="1">
        <v>187</v>
      </c>
      <c r="I250" t="s" s="1">
        <v>2017</v>
      </c>
      <c r="J250" t="s" s="1">
        <v>3237</v>
      </c>
      <c r="K250" t="s" s="1">
        <v>687</v>
      </c>
      <c r="L250" t="s" s="1">
        <v>1109</v>
      </c>
      <c r="M250" t="n" s="5">
        <v>49950.6</v>
      </c>
      <c r="N250" t="n" s="7">
        <v>44594.0</v>
      </c>
      <c r="O250" t="n" s="7">
        <v>44926.0</v>
      </c>
      <c r="P250" t="s" s="1">
        <v>3259</v>
      </c>
    </row>
    <row r="251" spans="1:16">
      <c r="A251" t="n" s="4">
        <v>247</v>
      </c>
      <c r="B251" s="2">
        <f>HYPERLINK("https://my.zakupki.prom.ua/remote/dispatcher/state_purchase_view/36428275", "UA-2022-06-20-006110-a")</f>
        <v/>
      </c>
      <c r="C251" t="s" s="2">
        <v>2890</v>
      </c>
      <c r="D251" s="2">
        <f>HYPERLINK("https://my.zakupki.prom.ua/remote/dispatcher/state_contracting_view/13526340", "UA-2022-06-20-006110-a-b1")</f>
        <v/>
      </c>
      <c r="E251" t="s" s="1">
        <v>525</v>
      </c>
      <c r="F251" t="s" s="1">
        <v>2103</v>
      </c>
      <c r="G251" t="s" s="1">
        <v>1884</v>
      </c>
      <c r="H251" t="s" s="1">
        <v>650</v>
      </c>
      <c r="I251" t="s" s="1">
        <v>2017</v>
      </c>
      <c r="J251" t="s" s="1">
        <v>2923</v>
      </c>
      <c r="K251" t="s" s="1">
        <v>545</v>
      </c>
      <c r="L251" t="s" s="1">
        <v>1169</v>
      </c>
      <c r="M251" t="n" s="5">
        <v>130272.59</v>
      </c>
      <c r="N251" t="n" s="7">
        <v>44732.0</v>
      </c>
      <c r="O251" t="n" s="7">
        <v>44926.0</v>
      </c>
      <c r="P251" t="s" s="1">
        <v>3259</v>
      </c>
    </row>
    <row r="252" spans="1:16">
      <c r="A252" t="n" s="4">
        <v>248</v>
      </c>
      <c r="B252" s="2">
        <f>HYPERLINK("https://my.zakupki.prom.ua/remote/dispatcher/state_purchase_view/33962800", "UA-2022-01-06-002430-c")</f>
        <v/>
      </c>
      <c r="C252" t="s" s="2">
        <v>2890</v>
      </c>
      <c r="D252" s="2">
        <f>HYPERLINK("https://my.zakupki.prom.ua/remote/dispatcher/state_contracting_view/12840607", "UA-2022-01-06-002430-c-b1")</f>
        <v/>
      </c>
      <c r="E252" t="s" s="1">
        <v>1641</v>
      </c>
      <c r="F252" t="s" s="1">
        <v>2174</v>
      </c>
      <c r="G252" t="s" s="1">
        <v>2174</v>
      </c>
      <c r="H252" t="s" s="1">
        <v>71</v>
      </c>
      <c r="I252" t="s" s="1">
        <v>1933</v>
      </c>
      <c r="J252" t="s" s="1">
        <v>3121</v>
      </c>
      <c r="K252" t="s" s="1">
        <v>857</v>
      </c>
      <c r="L252" t="s" s="1">
        <v>1429</v>
      </c>
      <c r="M252" t="n" s="5">
        <v>1219144.0</v>
      </c>
      <c r="N252" t="n" s="7">
        <v>44602.0</v>
      </c>
      <c r="O252" t="n" s="7">
        <v>44926.0</v>
      </c>
      <c r="P252" t="s" s="1">
        <v>3259</v>
      </c>
    </row>
    <row r="253" spans="1:16">
      <c r="A253" t="n" s="4">
        <v>249</v>
      </c>
      <c r="B253" s="2">
        <f>HYPERLINK("https://my.zakupki.prom.ua/remote/dispatcher/state_purchase_view/36223946", "UA-2022-05-27-000787-a")</f>
        <v/>
      </c>
      <c r="C253" t="s" s="2">
        <v>2890</v>
      </c>
      <c r="D253" s="2">
        <f>HYPERLINK("https://my.zakupki.prom.ua/remote/dispatcher/state_contracting_view/13421744", "UA-2022-05-27-000787-a-b1")</f>
        <v/>
      </c>
      <c r="E253" t="s" s="1">
        <v>987</v>
      </c>
      <c r="F253" t="s" s="1">
        <v>2570</v>
      </c>
      <c r="G253" t="s" s="1">
        <v>2570</v>
      </c>
      <c r="H253" t="s" s="1">
        <v>902</v>
      </c>
      <c r="I253" t="s" s="1">
        <v>2017</v>
      </c>
      <c r="J253" t="s" s="1">
        <v>1927</v>
      </c>
      <c r="K253" t="s" s="1">
        <v>320</v>
      </c>
      <c r="L253" t="s" s="1">
        <v>498</v>
      </c>
      <c r="M253" t="n" s="5">
        <v>2028.0</v>
      </c>
      <c r="N253" t="n" s="7">
        <v>44708.0</v>
      </c>
      <c r="O253" t="n" s="7">
        <v>44926.0</v>
      </c>
      <c r="P253" t="s" s="1">
        <v>3259</v>
      </c>
    </row>
    <row r="254" spans="1:16">
      <c r="A254" t="n" s="4">
        <v>250</v>
      </c>
      <c r="B254" s="2">
        <f>HYPERLINK("https://my.zakupki.prom.ua/remote/dispatcher/state_purchase_view/35615844", "UA-2022-03-10-003082-a")</f>
        <v/>
      </c>
      <c r="C254" t="s" s="2">
        <v>2890</v>
      </c>
      <c r="D254" s="2">
        <f>HYPERLINK("https://my.zakupki.prom.ua/remote/dispatcher/state_contracting_view/13105537", "UA-2022-03-10-003082-a-a1")</f>
        <v/>
      </c>
      <c r="E254" t="s" s="1">
        <v>1529</v>
      </c>
      <c r="F254" t="s" s="1">
        <v>2341</v>
      </c>
      <c r="G254" t="s" s="1">
        <v>2341</v>
      </c>
      <c r="H254" t="s" s="1">
        <v>638</v>
      </c>
      <c r="I254" t="s" s="1">
        <v>2017</v>
      </c>
      <c r="J254" t="s" s="1">
        <v>3067</v>
      </c>
      <c r="K254" t="s" s="1">
        <v>398</v>
      </c>
      <c r="L254" t="s" s="1">
        <v>161</v>
      </c>
      <c r="M254" t="n" s="5">
        <v>6460.0</v>
      </c>
      <c r="N254" t="n" s="7">
        <v>44630.0</v>
      </c>
      <c r="O254" t="n" s="7">
        <v>44926.0</v>
      </c>
      <c r="P254" t="s" s="1">
        <v>3259</v>
      </c>
    </row>
    <row r="255" spans="1:16">
      <c r="A255" t="n" s="4">
        <v>251</v>
      </c>
      <c r="B255" s="2">
        <f>HYPERLINK("https://my.zakupki.prom.ua/remote/dispatcher/state_purchase_view/35597989", "UA-2022-03-09-001444-a")</f>
        <v/>
      </c>
      <c r="C255" t="s" s="2">
        <v>2890</v>
      </c>
      <c r="D255" s="2">
        <f>HYPERLINK("https://my.zakupki.prom.ua/remote/dispatcher/state_contracting_view/13097845", "UA-2022-03-09-001444-a-a1")</f>
        <v/>
      </c>
      <c r="E255" t="s" s="1">
        <v>1252</v>
      </c>
      <c r="F255" t="s" s="1">
        <v>2438</v>
      </c>
      <c r="G255" t="s" s="1">
        <v>3255</v>
      </c>
      <c r="H255" t="s" s="1">
        <v>650</v>
      </c>
      <c r="I255" t="s" s="1">
        <v>2017</v>
      </c>
      <c r="J255" t="s" s="1">
        <v>3138</v>
      </c>
      <c r="K255" t="s" s="1">
        <v>720</v>
      </c>
      <c r="L255" t="s" s="1">
        <v>3185</v>
      </c>
      <c r="M255" t="n" s="5">
        <v>11760.0</v>
      </c>
      <c r="N255" t="n" s="7">
        <v>44629.0</v>
      </c>
      <c r="O255" t="n" s="7">
        <v>44926.0</v>
      </c>
      <c r="P255" t="s" s="1">
        <v>3259</v>
      </c>
    </row>
    <row r="256" spans="1:16">
      <c r="A256" t="n" s="4">
        <v>252</v>
      </c>
      <c r="B256" s="2">
        <f>HYPERLINK("https://my.zakupki.prom.ua/remote/dispatcher/state_purchase_view/35486812", "UA-2022-02-23-009882-a")</f>
        <v/>
      </c>
      <c r="C256" t="s" s="2">
        <v>2890</v>
      </c>
      <c r="D256" s="2">
        <f>HYPERLINK("https://my.zakupki.prom.ua/remote/dispatcher/state_contracting_view/13139821", "UA-2022-02-23-009882-a-a1")</f>
        <v/>
      </c>
      <c r="E256" t="s" s="1">
        <v>1507</v>
      </c>
      <c r="F256" t="s" s="1">
        <v>2200</v>
      </c>
      <c r="G256" t="s" s="1">
        <v>2874</v>
      </c>
      <c r="H256" t="s" s="1">
        <v>186</v>
      </c>
      <c r="I256" t="s" s="1">
        <v>3022</v>
      </c>
      <c r="J256" t="s" s="1">
        <v>3192</v>
      </c>
      <c r="K256" t="s" s="1">
        <v>480</v>
      </c>
      <c r="L256" t="s" s="1">
        <v>218</v>
      </c>
      <c r="M256" t="n" s="5">
        <v>148680.0</v>
      </c>
      <c r="N256" t="n" s="7">
        <v>44637.0</v>
      </c>
      <c r="O256" t="n" s="7">
        <v>44926.0</v>
      </c>
      <c r="P256" t="s" s="1">
        <v>3259</v>
      </c>
    </row>
    <row r="257" spans="1:16">
      <c r="A257" t="n" s="4">
        <v>253</v>
      </c>
      <c r="B257" s="2">
        <f>HYPERLINK("https://my.zakupki.prom.ua/remote/dispatcher/state_purchase_view/35821170", "UA-2022-04-04-001249-b")</f>
        <v/>
      </c>
      <c r="C257" t="s" s="2">
        <v>2890</v>
      </c>
      <c r="D257" s="2">
        <f>HYPERLINK("https://my.zakupki.prom.ua/remote/dispatcher/state_contracting_view/13215025", "UA-2022-04-04-001249-b-b1")</f>
        <v/>
      </c>
      <c r="E257" t="s" s="1">
        <v>1674</v>
      </c>
      <c r="F257" t="s" s="1">
        <v>2710</v>
      </c>
      <c r="G257" t="s" s="1">
        <v>2710</v>
      </c>
      <c r="H257" t="s" s="1">
        <v>1315</v>
      </c>
      <c r="I257" t="s" s="1">
        <v>2017</v>
      </c>
      <c r="J257" t="s" s="1">
        <v>2042</v>
      </c>
      <c r="K257" t="s" s="1">
        <v>31</v>
      </c>
      <c r="L257" t="s" s="1">
        <v>312</v>
      </c>
      <c r="M257" t="n" s="5">
        <v>11150.0</v>
      </c>
      <c r="N257" t="n" s="7">
        <v>44655.0</v>
      </c>
      <c r="O257" t="n" s="7">
        <v>44926.0</v>
      </c>
      <c r="P257" t="s" s="1">
        <v>3259</v>
      </c>
    </row>
    <row r="258" spans="1:16">
      <c r="A258" t="n" s="4">
        <v>254</v>
      </c>
      <c r="B258" s="2">
        <f>HYPERLINK("https://my.zakupki.prom.ua/remote/dispatcher/state_purchase_view/35851961", "UA-2022-04-06-003047-b")</f>
        <v/>
      </c>
      <c r="C258" t="s" s="2">
        <v>2890</v>
      </c>
      <c r="D258" s="2">
        <f>HYPERLINK("https://my.zakupki.prom.ua/remote/dispatcher/state_contracting_view/13230551", "UA-2022-04-06-003047-b-b1")</f>
        <v/>
      </c>
      <c r="E258" t="s" s="1">
        <v>1713</v>
      </c>
      <c r="F258" t="s" s="1">
        <v>2662</v>
      </c>
      <c r="G258" t="s" s="1">
        <v>2662</v>
      </c>
      <c r="H258" t="s" s="1">
        <v>1024</v>
      </c>
      <c r="I258" t="s" s="1">
        <v>2017</v>
      </c>
      <c r="J258" t="s" s="1">
        <v>2859</v>
      </c>
      <c r="K258" t="s" s="1">
        <v>541</v>
      </c>
      <c r="L258" t="s" s="1">
        <v>330</v>
      </c>
      <c r="M258" t="n" s="5">
        <v>900.0</v>
      </c>
      <c r="N258" t="n" s="7">
        <v>44657.0</v>
      </c>
      <c r="O258" t="n" s="7">
        <v>44926.0</v>
      </c>
      <c r="P258" t="s" s="1">
        <v>3259</v>
      </c>
    </row>
    <row r="259" spans="1:16">
      <c r="A259" t="n" s="4">
        <v>255</v>
      </c>
      <c r="B259" s="2">
        <f>HYPERLINK("https://my.zakupki.prom.ua/remote/dispatcher/state_purchase_view/35952236", "UA-2022-04-19-000110-a")</f>
        <v/>
      </c>
      <c r="C259" t="s" s="2">
        <v>2890</v>
      </c>
      <c r="D259" s="2">
        <f>HYPERLINK("https://my.zakupki.prom.ua/remote/dispatcher/state_contracting_view/13282041", "UA-2022-04-19-000110-a-a1")</f>
        <v/>
      </c>
      <c r="E259" t="s" s="1">
        <v>1473</v>
      </c>
      <c r="F259" t="s" s="1">
        <v>2586</v>
      </c>
      <c r="G259" t="s" s="1">
        <v>3254</v>
      </c>
      <c r="H259" t="s" s="1">
        <v>908</v>
      </c>
      <c r="I259" t="s" s="1">
        <v>2017</v>
      </c>
      <c r="J259" t="s" s="1">
        <v>1946</v>
      </c>
      <c r="K259" t="s" s="1">
        <v>277</v>
      </c>
      <c r="L259" t="s" s="1">
        <v>301</v>
      </c>
      <c r="M259" t="n" s="5">
        <v>10500.0</v>
      </c>
      <c r="N259" t="n" s="7">
        <v>44669.0</v>
      </c>
      <c r="O259" t="n" s="7">
        <v>44926.0</v>
      </c>
      <c r="P259" t="s" s="1">
        <v>3259</v>
      </c>
    </row>
    <row r="260" spans="1:16">
      <c r="A260" t="n" s="4">
        <v>256</v>
      </c>
      <c r="B260" s="2">
        <f>HYPERLINK("https://my.zakupki.prom.ua/remote/dispatcher/state_purchase_view/35679625", "UA-2022-03-17-002499-a")</f>
        <v/>
      </c>
      <c r="C260" t="s" s="2">
        <v>2890</v>
      </c>
      <c r="D260" s="2">
        <f>HYPERLINK("https://my.zakupki.prom.ua/remote/dispatcher/state_contracting_view/13139774", "UA-2022-03-17-002499-a-a1")</f>
        <v/>
      </c>
      <c r="E260" t="s" s="1">
        <v>1466</v>
      </c>
      <c r="F260" t="s" s="1">
        <v>2439</v>
      </c>
      <c r="G260" t="s" s="1">
        <v>3256</v>
      </c>
      <c r="H260" t="s" s="1">
        <v>650</v>
      </c>
      <c r="I260" t="s" s="1">
        <v>2017</v>
      </c>
      <c r="J260" t="s" s="1">
        <v>3113</v>
      </c>
      <c r="K260" t="s" s="1">
        <v>398</v>
      </c>
      <c r="L260" t="s" s="1">
        <v>215</v>
      </c>
      <c r="M260" t="n" s="5">
        <v>4597.52</v>
      </c>
      <c r="N260" t="n" s="7">
        <v>44637.0</v>
      </c>
      <c r="O260" t="n" s="7">
        <v>44926.0</v>
      </c>
      <c r="P260" t="s" s="1">
        <v>3259</v>
      </c>
    </row>
    <row r="261" spans="1:16">
      <c r="A261" t="n" s="4">
        <v>257</v>
      </c>
      <c r="B261" s="2">
        <f>HYPERLINK("https://my.zakupki.prom.ua/remote/dispatcher/state_purchase_view/36525848", "UA-2022-06-30-002666-a")</f>
        <v/>
      </c>
      <c r="C261" t="s" s="2">
        <v>2890</v>
      </c>
      <c r="D261" s="2">
        <f>HYPERLINK("https://my.zakupki.prom.ua/remote/dispatcher/state_contracting_view/13575426", "UA-2022-06-30-002666-a-b1")</f>
        <v/>
      </c>
      <c r="E261" t="s" s="1">
        <v>1290</v>
      </c>
      <c r="F261" t="s" s="1">
        <v>2106</v>
      </c>
      <c r="G261" t="s" s="1">
        <v>1960</v>
      </c>
      <c r="H261" t="s" s="1">
        <v>654</v>
      </c>
      <c r="I261" t="s" s="1">
        <v>2017</v>
      </c>
      <c r="J261" t="s" s="1">
        <v>3237</v>
      </c>
      <c r="K261" t="s" s="1">
        <v>687</v>
      </c>
      <c r="L261" t="s" s="1">
        <v>716</v>
      </c>
      <c r="M261" t="n" s="5">
        <v>1783.0</v>
      </c>
      <c r="N261" t="n" s="7">
        <v>44740.0</v>
      </c>
      <c r="O261" t="n" s="7">
        <v>44926.0</v>
      </c>
      <c r="P261" t="s" s="1">
        <v>3259</v>
      </c>
    </row>
    <row r="262" spans="1:16">
      <c r="A262" t="n" s="4">
        <v>258</v>
      </c>
      <c r="B262" s="2">
        <f>HYPERLINK("https://my.zakupki.prom.ua/remote/dispatcher/state_purchase_view/36494252", "UA-2022-06-27-004722-a")</f>
        <v/>
      </c>
      <c r="C262" t="s" s="2">
        <v>2890</v>
      </c>
      <c r="D262" s="2">
        <f>HYPERLINK("https://my.zakupki.prom.ua/remote/dispatcher/state_contracting_view/13560023", "UA-2022-06-27-004722-a-b1")</f>
        <v/>
      </c>
      <c r="E262" t="s" s="1">
        <v>38</v>
      </c>
      <c r="F262" t="s" s="1">
        <v>2661</v>
      </c>
      <c r="G262" t="s" s="1">
        <v>2661</v>
      </c>
      <c r="H262" t="s" s="1">
        <v>1024</v>
      </c>
      <c r="I262" t="s" s="1">
        <v>2017</v>
      </c>
      <c r="J262" t="s" s="1">
        <v>2859</v>
      </c>
      <c r="K262" t="s" s="1">
        <v>541</v>
      </c>
      <c r="L262" t="s" s="1">
        <v>695</v>
      </c>
      <c r="M262" t="n" s="5">
        <v>2040.0</v>
      </c>
      <c r="N262" t="n" s="7">
        <v>44739.0</v>
      </c>
      <c r="O262" t="n" s="7">
        <v>44926.0</v>
      </c>
      <c r="P262" t="s" s="1">
        <v>3259</v>
      </c>
    </row>
    <row r="263" spans="1:16">
      <c r="A263" t="n" s="4">
        <v>259</v>
      </c>
      <c r="B263" s="2">
        <f>HYPERLINK("https://my.zakupki.prom.ua/remote/dispatcher/state_purchase_view/37919562", "UA-2022-10-11-006826-a")</f>
        <v/>
      </c>
      <c r="C263" t="s" s="2">
        <v>2890</v>
      </c>
      <c r="D263" s="2">
        <f>HYPERLINK("https://my.zakupki.prom.ua/remote/dispatcher/state_contracting_view/14247739", "UA-2022-10-11-006826-a-a1")</f>
        <v/>
      </c>
      <c r="E263" t="s" s="1">
        <v>1130</v>
      </c>
      <c r="F263" t="s" s="1">
        <v>2726</v>
      </c>
      <c r="G263" t="s" s="1">
        <v>2956</v>
      </c>
      <c r="H263" t="s" s="1">
        <v>1321</v>
      </c>
      <c r="I263" t="s" s="1">
        <v>2017</v>
      </c>
      <c r="J263" t="s" s="1">
        <v>3093</v>
      </c>
      <c r="K263" t="s" s="1">
        <v>550</v>
      </c>
      <c r="L263" t="s" s="1">
        <v>1065</v>
      </c>
      <c r="M263" t="n" s="5">
        <v>49000.0</v>
      </c>
      <c r="N263" t="n" s="7">
        <v>44845.0</v>
      </c>
      <c r="O263" t="n" s="7">
        <v>44926.0</v>
      </c>
      <c r="P263" t="s" s="1">
        <v>3259</v>
      </c>
    </row>
    <row r="264" spans="1:16">
      <c r="A264" t="n" s="4">
        <v>260</v>
      </c>
      <c r="B264" s="2">
        <f>HYPERLINK("https://my.zakupki.prom.ua/remote/dispatcher/state_purchase_view/37064365", "UA-2022-08-15-003164-a")</f>
        <v/>
      </c>
      <c r="C264" t="s" s="2">
        <v>2890</v>
      </c>
      <c r="D264" s="2">
        <f>HYPERLINK("https://my.zakupki.prom.ua/remote/dispatcher/state_contracting_view/13830138", "UA-2022-08-15-003164-a-b1")</f>
        <v/>
      </c>
      <c r="E264" t="s" s="1">
        <v>1559</v>
      </c>
      <c r="F264" t="s" s="1">
        <v>2718</v>
      </c>
      <c r="G264" t="s" s="1">
        <v>2718</v>
      </c>
      <c r="H264" t="s" s="1">
        <v>1319</v>
      </c>
      <c r="I264" t="s" s="1">
        <v>2017</v>
      </c>
      <c r="J264" t="s" s="1">
        <v>1924</v>
      </c>
      <c r="K264" t="s" s="1">
        <v>331</v>
      </c>
      <c r="L264" t="s" s="1">
        <v>982</v>
      </c>
      <c r="M264" t="n" s="5">
        <v>14255.0</v>
      </c>
      <c r="N264" t="n" s="7">
        <v>44785.0</v>
      </c>
      <c r="O264" t="n" s="7">
        <v>44926.0</v>
      </c>
      <c r="P264" t="s" s="1">
        <v>3259</v>
      </c>
    </row>
    <row r="265" spans="1:16">
      <c r="A265" t="n" s="4">
        <v>261</v>
      </c>
      <c r="B265" s="2">
        <f>HYPERLINK("https://my.zakupki.prom.ua/remote/dispatcher/state_purchase_view/37071103", "UA-2022-08-15-006613-a")</f>
        <v/>
      </c>
      <c r="C265" t="s" s="2">
        <v>2890</v>
      </c>
      <c r="D265" s="2">
        <f>HYPERLINK("https://my.zakupki.prom.ua/remote/dispatcher/state_contracting_view/13833389", "UA-2022-08-15-006613-a-b1")</f>
        <v/>
      </c>
      <c r="E265" t="s" s="1">
        <v>1618</v>
      </c>
      <c r="F265" t="s" s="1">
        <v>2719</v>
      </c>
      <c r="G265" t="s" s="1">
        <v>2719</v>
      </c>
      <c r="H265" t="s" s="1">
        <v>1319</v>
      </c>
      <c r="I265" t="s" s="1">
        <v>2017</v>
      </c>
      <c r="J265" t="s" s="1">
        <v>2920</v>
      </c>
      <c r="K265" t="s" s="1">
        <v>366</v>
      </c>
      <c r="L265" t="s" s="1">
        <v>298</v>
      </c>
      <c r="M265" t="n" s="5">
        <v>684.0</v>
      </c>
      <c r="N265" t="n" s="7">
        <v>44788.0</v>
      </c>
      <c r="O265" t="n" s="7">
        <v>44926.0</v>
      </c>
      <c r="P265" t="s" s="1">
        <v>3259</v>
      </c>
    </row>
    <row r="266" spans="1:16">
      <c r="A266" t="n" s="4">
        <v>262</v>
      </c>
      <c r="B266" s="2">
        <f>HYPERLINK("https://my.zakupki.prom.ua/remote/dispatcher/state_purchase_view/39694399", "UA-2022-12-23-013960-a")</f>
        <v/>
      </c>
      <c r="C266" t="s" s="2">
        <v>2890</v>
      </c>
      <c r="D266" s="2">
        <f>HYPERLINK("https://my.zakupki.prom.ua/remote/dispatcher/state_contracting_view/15087877", "UA-2022-12-23-013960-a-b1")</f>
        <v/>
      </c>
      <c r="E266" t="s" s="1">
        <v>1746</v>
      </c>
      <c r="F266" t="s" s="1">
        <v>2609</v>
      </c>
      <c r="G266" t="s" s="1">
        <v>3000</v>
      </c>
      <c r="H266" t="s" s="1">
        <v>919</v>
      </c>
      <c r="I266" t="s" s="1">
        <v>2017</v>
      </c>
      <c r="J266" t="s" s="1">
        <v>1927</v>
      </c>
      <c r="K266" t="s" s="1">
        <v>320</v>
      </c>
      <c r="L266" t="s" s="1">
        <v>1341</v>
      </c>
      <c r="M266" t="n" s="5">
        <v>644.0</v>
      </c>
      <c r="N266" t="n" s="7">
        <v>44918.0</v>
      </c>
      <c r="O266" t="n" s="7">
        <v>44926.0</v>
      </c>
      <c r="P266" t="s" s="1">
        <v>3259</v>
      </c>
    </row>
    <row r="267" spans="1:16">
      <c r="A267" t="n" s="4">
        <v>263</v>
      </c>
      <c r="B267" s="2">
        <f>HYPERLINK("https://my.zakupki.prom.ua/remote/dispatcher/state_purchase_view/38995789", "UA-2022-12-02-014988-a")</f>
        <v/>
      </c>
      <c r="C267" t="s" s="2">
        <v>2890</v>
      </c>
      <c r="D267" s="2">
        <f>HYPERLINK("https://my.zakupki.prom.ua/remote/dispatcher/state_contracting_view/14758571", "UA-2022-12-02-014988-a-c1")</f>
        <v/>
      </c>
      <c r="E267" t="s" s="1">
        <v>469</v>
      </c>
      <c r="F267" t="s" s="1">
        <v>2727</v>
      </c>
      <c r="G267" t="s" s="1">
        <v>2957</v>
      </c>
      <c r="H267" t="s" s="1">
        <v>1321</v>
      </c>
      <c r="I267" t="s" s="1">
        <v>2017</v>
      </c>
      <c r="J267" t="s" s="1">
        <v>3093</v>
      </c>
      <c r="K267" t="s" s="1">
        <v>550</v>
      </c>
      <c r="L267" t="s" s="1">
        <v>1259</v>
      </c>
      <c r="M267" t="n" s="5">
        <v>49000.0</v>
      </c>
      <c r="N267" t="n" s="7">
        <v>44897.0</v>
      </c>
      <c r="O267" t="n" s="7">
        <v>44926.0</v>
      </c>
      <c r="P267" t="s" s="1">
        <v>3259</v>
      </c>
    </row>
    <row r="268" spans="1:16">
      <c r="A268" t="n" s="4">
        <v>264</v>
      </c>
      <c r="B268" s="2">
        <f>HYPERLINK("https://my.zakupki.prom.ua/remote/dispatcher/state_purchase_view/35538319", "UA-2022-03-01-000877-a")</f>
        <v/>
      </c>
      <c r="C268" t="s" s="2">
        <v>2890</v>
      </c>
      <c r="D268" s="2">
        <f>HYPERLINK("https://my.zakupki.prom.ua/remote/dispatcher/state_contracting_view/13065266", "UA-2022-03-01-000877-a-a1")</f>
        <v/>
      </c>
      <c r="E268" t="s" s="1">
        <v>1343</v>
      </c>
      <c r="F268" t="s" s="1">
        <v>2403</v>
      </c>
      <c r="G268" t="s" s="1">
        <v>1894</v>
      </c>
      <c r="H268" t="s" s="1">
        <v>650</v>
      </c>
      <c r="I268" t="s" s="1">
        <v>2017</v>
      </c>
      <c r="J268" t="s" s="1">
        <v>2921</v>
      </c>
      <c r="K268" t="s" s="1">
        <v>571</v>
      </c>
      <c r="L268" t="s" s="1">
        <v>134</v>
      </c>
      <c r="M268" t="n" s="5">
        <v>14408.52</v>
      </c>
      <c r="N268" t="n" s="7">
        <v>44617.0</v>
      </c>
      <c r="O268" t="n" s="7">
        <v>44926.0</v>
      </c>
      <c r="P268" t="s" s="1">
        <v>3259</v>
      </c>
    </row>
    <row r="269" spans="1:16">
      <c r="A269" t="n" s="4">
        <v>265</v>
      </c>
      <c r="B269" s="2">
        <f>HYPERLINK("https://my.zakupki.prom.ua/remote/dispatcher/state_purchase_view/35514997", "UA-2022-02-25-000631-a")</f>
        <v/>
      </c>
      <c r="C269" t="s" s="2">
        <v>2890</v>
      </c>
      <c r="D269" s="2">
        <f>HYPERLINK("https://my.zakupki.prom.ua/remote/dispatcher/state_contracting_view/13050964", "UA-2022-02-25-000631-a-a1")</f>
        <v/>
      </c>
      <c r="E269" t="s" s="1">
        <v>70</v>
      </c>
      <c r="F269" t="s" s="1">
        <v>2263</v>
      </c>
      <c r="G269" t="s" s="1">
        <v>3020</v>
      </c>
      <c r="H269" t="s" s="1">
        <v>411</v>
      </c>
      <c r="I269" t="s" s="1">
        <v>2017</v>
      </c>
      <c r="J269" t="s" s="1">
        <v>3067</v>
      </c>
      <c r="K269" t="s" s="1">
        <v>398</v>
      </c>
      <c r="L269" t="s" s="1">
        <v>131</v>
      </c>
      <c r="M269" t="n" s="5">
        <v>1768.78</v>
      </c>
      <c r="N269" t="n" s="7">
        <v>44617.0</v>
      </c>
      <c r="O269" t="n" s="7">
        <v>44926.0</v>
      </c>
      <c r="P269" t="s" s="1">
        <v>3259</v>
      </c>
    </row>
    <row r="270" spans="1:16">
      <c r="A270" t="n" s="4">
        <v>266</v>
      </c>
      <c r="B270" s="2">
        <f>HYPERLINK("https://my.zakupki.prom.ua/remote/dispatcher/state_purchase_view/36387145", "UA-2022-06-15-005019-a")</f>
        <v/>
      </c>
      <c r="C270" t="s" s="2">
        <v>2890</v>
      </c>
      <c r="D270" s="2">
        <f>HYPERLINK("https://my.zakupki.prom.ua/remote/dispatcher/state_contracting_view/13505568", "UA-2022-06-15-005019-a-b1")</f>
        <v/>
      </c>
      <c r="E270" t="s" s="1">
        <v>313</v>
      </c>
      <c r="F270" t="s" s="1">
        <v>2295</v>
      </c>
      <c r="G270" t="s" s="1">
        <v>1886</v>
      </c>
      <c r="H270" t="s" s="1">
        <v>579</v>
      </c>
      <c r="I270" t="s" s="1">
        <v>2017</v>
      </c>
      <c r="J270" t="s" s="1">
        <v>3094</v>
      </c>
      <c r="K270" t="s" s="1">
        <v>724</v>
      </c>
      <c r="L270" t="s" s="1">
        <v>645</v>
      </c>
      <c r="M270" t="n" s="5">
        <v>3830.0</v>
      </c>
      <c r="N270" t="n" s="7">
        <v>44727.0</v>
      </c>
      <c r="O270" t="n" s="7">
        <v>44926.0</v>
      </c>
      <c r="P270" t="s" s="1">
        <v>3259</v>
      </c>
    </row>
    <row r="271" spans="1:16">
      <c r="A271" t="n" s="4">
        <v>267</v>
      </c>
      <c r="B271" s="2">
        <f>HYPERLINK("https://my.zakupki.prom.ua/remote/dispatcher/state_purchase_view/34399065", "UA-2022-01-25-002738-b")</f>
        <v/>
      </c>
      <c r="C271" t="s" s="2">
        <v>2890</v>
      </c>
      <c r="D271" s="2">
        <f>HYPERLINK("https://my.zakupki.prom.ua/remote/dispatcher/state_contracting_view/12525950", "UA-2022-01-25-002738-b-b1")</f>
        <v/>
      </c>
      <c r="E271" t="s" s="1">
        <v>810</v>
      </c>
      <c r="F271" t="s" s="1">
        <v>2695</v>
      </c>
      <c r="G271" t="s" s="1">
        <v>2695</v>
      </c>
      <c r="H271" t="s" s="1">
        <v>1221</v>
      </c>
      <c r="I271" t="s" s="1">
        <v>2017</v>
      </c>
      <c r="J271" t="s" s="1">
        <v>1880</v>
      </c>
      <c r="K271" t="s" s="1">
        <v>32</v>
      </c>
      <c r="L271" t="s" s="1">
        <v>1020</v>
      </c>
      <c r="M271" t="n" s="5">
        <v>873.76</v>
      </c>
      <c r="N271" t="n" s="7">
        <v>44586.0</v>
      </c>
      <c r="O271" t="n" s="7">
        <v>44926.0</v>
      </c>
      <c r="P271" t="s" s="1">
        <v>3259</v>
      </c>
    </row>
    <row r="272" spans="1:16">
      <c r="A272" t="n" s="4">
        <v>268</v>
      </c>
      <c r="B272" s="2">
        <f>HYPERLINK("https://my.zakupki.prom.ua/remote/dispatcher/state_purchase_view/34785798", "UA-2022-02-03-004349-b")</f>
        <v/>
      </c>
      <c r="C272" t="s" s="2">
        <v>2890</v>
      </c>
      <c r="D272" s="2">
        <f>HYPERLINK("https://my.zakupki.prom.ua/remote/dispatcher/state_contracting_view/12704761", "UA-2022-02-03-004349-b-b1")</f>
        <v/>
      </c>
      <c r="E272" t="s" s="1">
        <v>1363</v>
      </c>
      <c r="F272" t="s" s="1">
        <v>2483</v>
      </c>
      <c r="G272" t="s" s="1">
        <v>3260</v>
      </c>
      <c r="H272" t="s" s="1">
        <v>651</v>
      </c>
      <c r="I272" t="s" s="1">
        <v>2017</v>
      </c>
      <c r="J272" t="s" s="1">
        <v>3142</v>
      </c>
      <c r="K272" t="s" s="1">
        <v>851</v>
      </c>
      <c r="L272" t="s" s="1">
        <v>2831</v>
      </c>
      <c r="M272" t="n" s="5">
        <v>1650.0</v>
      </c>
      <c r="N272" t="n" s="7">
        <v>44595.0</v>
      </c>
      <c r="O272" t="n" s="7">
        <v>44926.0</v>
      </c>
      <c r="P272" t="s" s="1">
        <v>3259</v>
      </c>
    </row>
    <row r="273" spans="1:16">
      <c r="A273" t="n" s="4">
        <v>269</v>
      </c>
      <c r="B273" s="2">
        <f>HYPERLINK("https://my.zakupki.prom.ua/remote/dispatcher/state_purchase_view/34788465", "UA-2022-02-03-005103-b")</f>
        <v/>
      </c>
      <c r="C273" t="s" s="2">
        <v>2890</v>
      </c>
      <c r="D273" s="2">
        <f>HYPERLINK("https://my.zakupki.prom.ua/remote/dispatcher/state_contracting_view/12705973", "UA-2022-02-03-005103-b-b1")</f>
        <v/>
      </c>
      <c r="E273" t="s" s="1">
        <v>1562</v>
      </c>
      <c r="F273" t="s" s="1">
        <v>2770</v>
      </c>
      <c r="G273" t="s" s="1">
        <v>2770</v>
      </c>
      <c r="H273" t="s" s="1">
        <v>1445</v>
      </c>
      <c r="I273" t="s" s="1">
        <v>2017</v>
      </c>
      <c r="J273" t="s" s="1">
        <v>2038</v>
      </c>
      <c r="K273" t="s" s="1">
        <v>17</v>
      </c>
      <c r="L273" t="s" s="1">
        <v>1043</v>
      </c>
      <c r="M273" t="n" s="5">
        <v>4247.73</v>
      </c>
      <c r="N273" t="n" s="7">
        <v>44595.0</v>
      </c>
      <c r="O273" t="n" s="7">
        <v>44926.0</v>
      </c>
      <c r="P273" t="s" s="1">
        <v>3259</v>
      </c>
    </row>
    <row r="274" spans="1:16">
      <c r="A274" t="n" s="4">
        <v>270</v>
      </c>
      <c r="B274" s="2">
        <f>HYPERLINK("https://my.zakupki.prom.ua/remote/dispatcher/state_purchase_view/34790530", "UA-2022-02-03-005741-b")</f>
        <v/>
      </c>
      <c r="C274" t="s" s="2">
        <v>2890</v>
      </c>
      <c r="D274" s="2">
        <f>HYPERLINK("https://my.zakupki.prom.ua/remote/dispatcher/state_contracting_view/12711303", "UA-2022-02-03-005741-b-b1")</f>
        <v/>
      </c>
      <c r="E274" t="s" s="1">
        <v>1787</v>
      </c>
      <c r="F274" t="s" s="1">
        <v>2765</v>
      </c>
      <c r="G274" t="s" s="1">
        <v>2765</v>
      </c>
      <c r="H274" t="s" s="1">
        <v>1445</v>
      </c>
      <c r="I274" t="s" s="1">
        <v>2017</v>
      </c>
      <c r="J274" t="s" s="1">
        <v>3088</v>
      </c>
      <c r="K274" t="s" s="1">
        <v>773</v>
      </c>
      <c r="L274" t="s" s="1">
        <v>1056</v>
      </c>
      <c r="M274" t="n" s="5">
        <v>600000.0</v>
      </c>
      <c r="N274" t="n" s="7">
        <v>44593.0</v>
      </c>
      <c r="O274" t="n" s="7">
        <v>44926.0</v>
      </c>
      <c r="P274" t="s" s="1">
        <v>3259</v>
      </c>
    </row>
    <row r="275" spans="1:16">
      <c r="A275" t="n" s="4">
        <v>271</v>
      </c>
      <c r="B275" s="2">
        <f>HYPERLINK("https://my.zakupki.prom.ua/remote/dispatcher/state_purchase_view/34927448", "UA-2022-02-08-002229-b")</f>
        <v/>
      </c>
      <c r="C275" t="s" s="2">
        <v>2890</v>
      </c>
      <c r="D275" s="2">
        <f>HYPERLINK("https://my.zakupki.prom.ua/remote/dispatcher/state_contracting_view/12770718", "UA-2022-02-08-002229-b-b1")</f>
        <v/>
      </c>
      <c r="E275" t="s" s="1">
        <v>1477</v>
      </c>
      <c r="F275" t="s" s="1">
        <v>2677</v>
      </c>
      <c r="G275" t="s" s="1">
        <v>2677</v>
      </c>
      <c r="H275" t="s" s="1">
        <v>1027</v>
      </c>
      <c r="I275" t="s" s="1">
        <v>2017</v>
      </c>
      <c r="J275" t="s" s="1">
        <v>1970</v>
      </c>
      <c r="K275" t="s" s="1">
        <v>40</v>
      </c>
      <c r="L275" t="s" s="1">
        <v>352</v>
      </c>
      <c r="M275" t="n" s="5">
        <v>14844.0</v>
      </c>
      <c r="N275" t="n" s="7">
        <v>44600.0</v>
      </c>
      <c r="O275" t="n" s="7">
        <v>44926.0</v>
      </c>
      <c r="P275" t="s" s="1">
        <v>3259</v>
      </c>
    </row>
    <row r="276" spans="1:16">
      <c r="A276" t="n" s="4">
        <v>272</v>
      </c>
      <c r="B276" s="2">
        <f>HYPERLINK("https://my.zakupki.prom.ua/remote/dispatcher/state_purchase_view/33933781", "UA-2022-01-04-004165-c")</f>
        <v/>
      </c>
      <c r="C276" t="s" s="2">
        <v>2890</v>
      </c>
      <c r="D276" s="2">
        <f>HYPERLINK("https://my.zakupki.prom.ua/remote/dispatcher/state_contracting_view/12338463", "UA-2022-01-04-004165-c-c1")</f>
        <v/>
      </c>
      <c r="E276" t="s" s="1">
        <v>1010</v>
      </c>
      <c r="F276" t="s" s="1">
        <v>2687</v>
      </c>
      <c r="G276" t="s" s="1">
        <v>2687</v>
      </c>
      <c r="H276" t="s" s="1">
        <v>1032</v>
      </c>
      <c r="I276" t="s" s="1">
        <v>2017</v>
      </c>
      <c r="J276" t="s" s="1">
        <v>3190</v>
      </c>
      <c r="K276" t="s" s="1">
        <v>558</v>
      </c>
      <c r="L276" t="s" s="1">
        <v>171</v>
      </c>
      <c r="M276" t="n" s="5">
        <v>27600.0</v>
      </c>
      <c r="N276" t="n" s="7">
        <v>44564.0</v>
      </c>
      <c r="O276" t="n" s="7">
        <v>44926.0</v>
      </c>
      <c r="P276" t="s" s="1">
        <v>3259</v>
      </c>
    </row>
    <row r="277" spans="1:16">
      <c r="A277" t="n" s="4">
        <v>273</v>
      </c>
      <c r="B277" s="2">
        <f>HYPERLINK("https://my.zakupki.prom.ua/remote/dispatcher/state_purchase_view/34881934", "UA-2022-02-07-003120-b")</f>
        <v/>
      </c>
      <c r="C277" t="s" s="2">
        <v>2890</v>
      </c>
      <c r="D277" s="2">
        <f>HYPERLINK("https://my.zakupki.prom.ua/remote/dispatcher/state_contracting_view/12749433", "UA-2022-02-07-003120-b-b1")</f>
        <v/>
      </c>
      <c r="E277" t="s" s="1">
        <v>1642</v>
      </c>
      <c r="F277" t="s" s="1">
        <v>2420</v>
      </c>
      <c r="G277" t="s" s="1">
        <v>2998</v>
      </c>
      <c r="H277" t="s" s="1">
        <v>650</v>
      </c>
      <c r="I277" t="s" s="1">
        <v>2017</v>
      </c>
      <c r="J277" t="s" s="1">
        <v>3104</v>
      </c>
      <c r="K277" t="s" s="1">
        <v>732</v>
      </c>
      <c r="L277" t="s" s="1">
        <v>52</v>
      </c>
      <c r="M277" t="n" s="5">
        <v>40718.0</v>
      </c>
      <c r="N277" t="n" s="7">
        <v>44599.0</v>
      </c>
      <c r="O277" t="n" s="7">
        <v>44926.0</v>
      </c>
      <c r="P277" t="s" s="1">
        <v>3259</v>
      </c>
    </row>
    <row r="278" spans="1:16">
      <c r="A278" t="n" s="4">
        <v>274</v>
      </c>
      <c r="B278" s="2">
        <f>HYPERLINK("https://my.zakupki.prom.ua/remote/dispatcher/state_purchase_view/35948317", "UA-2022-04-18-002678-a")</f>
        <v/>
      </c>
      <c r="C278" t="s" s="2">
        <v>2890</v>
      </c>
      <c r="D278" s="2">
        <f>HYPERLINK("https://my.zakupki.prom.ua/remote/dispatcher/state_contracting_view/13279947", "UA-2022-04-18-002678-a-a1")</f>
        <v/>
      </c>
      <c r="E278" t="s" s="1">
        <v>1107</v>
      </c>
      <c r="F278" t="s" s="1">
        <v>2518</v>
      </c>
      <c r="G278" t="s" s="1">
        <v>2518</v>
      </c>
      <c r="H278" t="s" s="1">
        <v>767</v>
      </c>
      <c r="I278" t="s" s="1">
        <v>2017</v>
      </c>
      <c r="J278" t="s" s="1">
        <v>2852</v>
      </c>
      <c r="K278" t="s" s="1">
        <v>318</v>
      </c>
      <c r="L278" t="s" s="1">
        <v>407</v>
      </c>
      <c r="M278" t="n" s="5">
        <v>49850.0</v>
      </c>
      <c r="N278" t="n" s="7">
        <v>44669.0</v>
      </c>
      <c r="O278" t="n" s="7">
        <v>44926.0</v>
      </c>
      <c r="P278" t="s" s="1">
        <v>3259</v>
      </c>
    </row>
    <row r="279" spans="1:16">
      <c r="A279" t="n" s="4">
        <v>275</v>
      </c>
      <c r="B279" s="2">
        <f>HYPERLINK("https://my.zakupki.prom.ua/remote/dispatcher/state_purchase_view/35615658", "UA-2022-03-10-003004-a")</f>
        <v/>
      </c>
      <c r="C279" t="s" s="2">
        <v>2890</v>
      </c>
      <c r="D279" s="2">
        <f>HYPERLINK("https://my.zakupki.prom.ua/remote/dispatcher/state_contracting_view/13105428", "UA-2022-03-10-003004-a-a1")</f>
        <v/>
      </c>
      <c r="E279" t="s" s="1">
        <v>1228</v>
      </c>
      <c r="F279" t="s" s="1">
        <v>2352</v>
      </c>
      <c r="G279" t="s" s="1">
        <v>2352</v>
      </c>
      <c r="H279" t="s" s="1">
        <v>638</v>
      </c>
      <c r="I279" t="s" s="1">
        <v>2017</v>
      </c>
      <c r="J279" t="s" s="1">
        <v>3067</v>
      </c>
      <c r="K279" t="s" s="1">
        <v>398</v>
      </c>
      <c r="L279" t="s" s="1">
        <v>157</v>
      </c>
      <c r="M279" t="n" s="5">
        <v>2347.05</v>
      </c>
      <c r="N279" t="n" s="7">
        <v>44630.0</v>
      </c>
      <c r="O279" t="n" s="7">
        <v>44926.0</v>
      </c>
      <c r="P279" t="s" s="1">
        <v>3259</v>
      </c>
    </row>
    <row r="280" spans="1:16">
      <c r="A280" t="n" s="4">
        <v>276</v>
      </c>
      <c r="B280" s="2">
        <f>HYPERLINK("https://my.zakupki.prom.ua/remote/dispatcher/state_purchase_view/35900832", "UA-2022-04-12-003635-b")</f>
        <v/>
      </c>
      <c r="C280" t="s" s="2">
        <v>2890</v>
      </c>
      <c r="D280" s="2">
        <f>HYPERLINK("https://my.zakupki.prom.ua/remote/dispatcher/state_contracting_view/13255505", "UA-2022-04-12-003635-b-b1")</f>
        <v/>
      </c>
      <c r="E280" t="s" s="1">
        <v>1720</v>
      </c>
      <c r="F280" t="s" s="1">
        <v>2693</v>
      </c>
      <c r="G280" t="s" s="1">
        <v>2693</v>
      </c>
      <c r="H280" t="s" s="1">
        <v>1202</v>
      </c>
      <c r="I280" t="s" s="1">
        <v>2017</v>
      </c>
      <c r="J280" t="s" s="1">
        <v>1881</v>
      </c>
      <c r="K280" t="s" s="1">
        <v>336</v>
      </c>
      <c r="L280" t="s" s="1">
        <v>898</v>
      </c>
      <c r="M280" t="n" s="5">
        <v>44600.0</v>
      </c>
      <c r="N280" t="n" s="7">
        <v>44663.0</v>
      </c>
      <c r="O280" t="n" s="7">
        <v>44926.0</v>
      </c>
      <c r="P280" t="s" s="1">
        <v>3259</v>
      </c>
    </row>
    <row r="281" spans="1:16">
      <c r="A281" t="n" s="4">
        <v>277</v>
      </c>
      <c r="B281" s="2">
        <f>HYPERLINK("https://my.zakupki.prom.ua/remote/dispatcher/state_purchase_view/35938990", "UA-2022-04-15-002660-b")</f>
        <v/>
      </c>
      <c r="C281" t="s" s="2">
        <v>2890</v>
      </c>
      <c r="D281" s="2">
        <f>HYPERLINK("https://my.zakupki.prom.ua/remote/dispatcher/state_contracting_view/13275104", "UA-2022-04-15-002660-b-b1")</f>
        <v/>
      </c>
      <c r="E281" t="s" s="1">
        <v>1754</v>
      </c>
      <c r="F281" t="s" s="1">
        <v>2538</v>
      </c>
      <c r="G281" t="s" s="1">
        <v>1983</v>
      </c>
      <c r="H281" t="s" s="1">
        <v>784</v>
      </c>
      <c r="I281" t="s" s="1">
        <v>2017</v>
      </c>
      <c r="J281" t="s" s="1">
        <v>2016</v>
      </c>
      <c r="K281" t="s" s="1">
        <v>474</v>
      </c>
      <c r="L281" t="s" s="1">
        <v>372</v>
      </c>
      <c r="M281" t="n" s="5">
        <v>1407.0</v>
      </c>
      <c r="N281" t="n" s="7">
        <v>44666.0</v>
      </c>
      <c r="O281" t="n" s="7">
        <v>44926.0</v>
      </c>
      <c r="P281" t="s" s="1">
        <v>3259</v>
      </c>
    </row>
    <row r="282" spans="1:16">
      <c r="A282" t="n" s="4">
        <v>278</v>
      </c>
      <c r="B282" s="2">
        <f>HYPERLINK("https://my.zakupki.prom.ua/remote/dispatcher/state_purchase_view/35947391", "UA-2022-04-18-002321-a")</f>
        <v/>
      </c>
      <c r="C282" t="s" s="2">
        <v>2890</v>
      </c>
      <c r="D282" s="2">
        <f>HYPERLINK("https://my.zakupki.prom.ua/remote/dispatcher/state_contracting_view/13279355", "UA-2022-04-18-002321-a-a1")</f>
        <v/>
      </c>
      <c r="E282" t="s" s="1">
        <v>814</v>
      </c>
      <c r="F282" t="s" s="1">
        <v>2631</v>
      </c>
      <c r="G282" t="s" s="1">
        <v>2631</v>
      </c>
      <c r="H282" t="s" s="1">
        <v>933</v>
      </c>
      <c r="I282" t="s" s="1">
        <v>2017</v>
      </c>
      <c r="J282" t="s" s="1">
        <v>3197</v>
      </c>
      <c r="K282" t="s" s="1">
        <v>621</v>
      </c>
      <c r="L282" t="s" s="1">
        <v>397</v>
      </c>
      <c r="M282" t="n" s="5">
        <v>5426.0</v>
      </c>
      <c r="N282" t="n" s="7">
        <v>44666.0</v>
      </c>
      <c r="O282" t="n" s="7">
        <v>44926.0</v>
      </c>
      <c r="P282" t="s" s="1">
        <v>3259</v>
      </c>
    </row>
    <row r="283" spans="1:16">
      <c r="A283" t="n" s="4">
        <v>279</v>
      </c>
      <c r="B283" s="2">
        <f>HYPERLINK("https://my.zakupki.prom.ua/remote/dispatcher/state_purchase_view/35947537", "UA-2022-04-18-002374-a")</f>
        <v/>
      </c>
      <c r="C283" t="s" s="2">
        <v>2890</v>
      </c>
      <c r="D283" s="2">
        <f>HYPERLINK("https://my.zakupki.prom.ua/remote/dispatcher/state_contracting_view/13279379", "UA-2022-04-18-002374-a-a1")</f>
        <v/>
      </c>
      <c r="E283" t="s" s="1">
        <v>1826</v>
      </c>
      <c r="F283" t="s" s="1">
        <v>2614</v>
      </c>
      <c r="G283" t="s" s="1">
        <v>2614</v>
      </c>
      <c r="H283" t="s" s="1">
        <v>922</v>
      </c>
      <c r="I283" t="s" s="1">
        <v>2017</v>
      </c>
      <c r="J283" t="s" s="1">
        <v>3197</v>
      </c>
      <c r="K283" t="s" s="1">
        <v>620</v>
      </c>
      <c r="L283" t="s" s="1">
        <v>400</v>
      </c>
      <c r="M283" t="n" s="5">
        <v>276.0</v>
      </c>
      <c r="N283" t="n" s="7">
        <v>44666.0</v>
      </c>
      <c r="O283" t="n" s="7">
        <v>44926.0</v>
      </c>
      <c r="P283" t="s" s="1">
        <v>3259</v>
      </c>
    </row>
    <row r="284" spans="1:16">
      <c r="A284" t="n" s="4">
        <v>280</v>
      </c>
      <c r="B284" s="2">
        <f>HYPERLINK("https://my.zakupki.prom.ua/remote/dispatcher/state_purchase_view/35960478", "UA-2022-04-19-003226-a")</f>
        <v/>
      </c>
      <c r="C284" t="s" s="2">
        <v>2890</v>
      </c>
      <c r="D284" s="2">
        <f>HYPERLINK("https://my.zakupki.prom.ua/remote/dispatcher/state_contracting_view/13286543", "UA-2022-04-19-003226-a-a1")</f>
        <v/>
      </c>
      <c r="E284" t="s" s="1">
        <v>1365</v>
      </c>
      <c r="F284" t="s" s="1">
        <v>2732</v>
      </c>
      <c r="G284" t="s" s="1">
        <v>2732</v>
      </c>
      <c r="H284" t="s" s="1">
        <v>1322</v>
      </c>
      <c r="I284" t="s" s="1">
        <v>2017</v>
      </c>
      <c r="J284" t="s" s="1">
        <v>1969</v>
      </c>
      <c r="K284" t="s" s="1">
        <v>317</v>
      </c>
      <c r="L284" t="s" s="1">
        <v>116</v>
      </c>
      <c r="M284" t="n" s="5">
        <v>9652.13</v>
      </c>
      <c r="N284" t="n" s="7">
        <v>44670.0</v>
      </c>
      <c r="O284" t="n" s="7">
        <v>44926.0</v>
      </c>
      <c r="P284" t="s" s="1">
        <v>3259</v>
      </c>
    </row>
    <row r="285" spans="1:16">
      <c r="A285" t="n" s="4">
        <v>281</v>
      </c>
      <c r="B285" s="2">
        <f>HYPERLINK("https://my.zakupki.prom.ua/remote/dispatcher/state_purchase_view/36524024", "UA-2022-06-30-001678-a")</f>
        <v/>
      </c>
      <c r="C285" t="s" s="2">
        <v>2890</v>
      </c>
      <c r="D285" s="2">
        <f>HYPERLINK("https://my.zakupki.prom.ua/remote/dispatcher/state_contracting_view/13574400", "UA-2022-06-30-001678-a-b1")</f>
        <v/>
      </c>
      <c r="E285" t="s" s="1">
        <v>536</v>
      </c>
      <c r="F285" t="s" s="1">
        <v>2111</v>
      </c>
      <c r="G285" t="s" s="1">
        <v>2063</v>
      </c>
      <c r="H285" t="s" s="1">
        <v>774</v>
      </c>
      <c r="I285" t="s" s="1">
        <v>2017</v>
      </c>
      <c r="J285" t="s" s="1">
        <v>3237</v>
      </c>
      <c r="K285" t="s" s="1">
        <v>687</v>
      </c>
      <c r="L285" t="s" s="1">
        <v>707</v>
      </c>
      <c r="M285" t="n" s="5">
        <v>10526.0</v>
      </c>
      <c r="N285" t="n" s="7">
        <v>44740.0</v>
      </c>
      <c r="O285" t="n" s="7">
        <v>44926.0</v>
      </c>
      <c r="P285" t="s" s="1">
        <v>3259</v>
      </c>
    </row>
    <row r="286" spans="1:16">
      <c r="A286" t="n" s="4">
        <v>282</v>
      </c>
      <c r="B286" s="2">
        <f>HYPERLINK("https://my.zakupki.prom.ua/remote/dispatcher/state_purchase_view/38385862", "UA-2022-11-07-006500-a")</f>
        <v/>
      </c>
      <c r="C286" t="s" s="2">
        <v>2890</v>
      </c>
      <c r="D286" s="2">
        <f>HYPERLINK("https://my.zakupki.prom.ua/remote/dispatcher/state_contracting_view/14477567", "UA-2022-11-07-006500-a-a1")</f>
        <v/>
      </c>
      <c r="E286" t="s" s="1">
        <v>120</v>
      </c>
      <c r="F286" t="s" s="1">
        <v>2674</v>
      </c>
      <c r="G286" t="s" s="1">
        <v>2674</v>
      </c>
      <c r="H286" t="s" s="1">
        <v>1027</v>
      </c>
      <c r="I286" t="s" s="1">
        <v>2017</v>
      </c>
      <c r="J286" t="s" s="1">
        <v>1970</v>
      </c>
      <c r="K286" t="s" s="1">
        <v>40</v>
      </c>
      <c r="L286" t="s" s="1">
        <v>357</v>
      </c>
      <c r="M286" t="n" s="5">
        <v>129.6</v>
      </c>
      <c r="N286" t="n" s="7">
        <v>44872.0</v>
      </c>
      <c r="O286" t="n" s="7">
        <v>44926.0</v>
      </c>
      <c r="P286" t="s" s="1">
        <v>3259</v>
      </c>
    </row>
    <row r="287" spans="1:16">
      <c r="A287" t="n" s="4">
        <v>283</v>
      </c>
      <c r="B287" s="2">
        <f>HYPERLINK("https://my.zakupki.prom.ua/remote/dispatcher/state_purchase_view/37759890", "UA-2022-09-29-008350-a")</f>
        <v/>
      </c>
      <c r="C287" t="s" s="2">
        <v>2890</v>
      </c>
      <c r="D287" s="2">
        <f>HYPERLINK("https://my.zakupki.prom.ua/remote/dispatcher/state_contracting_view/14302539", "UA-2022-09-29-008350-a-a1")</f>
        <v/>
      </c>
      <c r="E287" t="s" s="1">
        <v>1827</v>
      </c>
      <c r="F287" t="s" s="1">
        <v>2798</v>
      </c>
      <c r="G287" t="s" s="1">
        <v>2873</v>
      </c>
      <c r="H287" t="s" s="1">
        <v>792</v>
      </c>
      <c r="I287" t="s" s="1">
        <v>3022</v>
      </c>
      <c r="J287" t="s" s="1">
        <v>1905</v>
      </c>
      <c r="K287" t="s" s="1">
        <v>713</v>
      </c>
      <c r="L287" t="s" s="1">
        <v>143</v>
      </c>
      <c r="M287" t="n" s="5">
        <v>86422.5</v>
      </c>
      <c r="N287" t="n" s="7">
        <v>44852.0</v>
      </c>
      <c r="O287" t="n" s="7">
        <v>44926.0</v>
      </c>
      <c r="P287" t="s" s="1">
        <v>3259</v>
      </c>
    </row>
    <row r="288" spans="1:16">
      <c r="A288" t="n" s="4">
        <v>284</v>
      </c>
      <c r="B288" s="2">
        <f>HYPERLINK("https://my.zakupki.prom.ua/remote/dispatcher/state_purchase_view/39158921", "UA-2022-12-08-013953-a")</f>
        <v/>
      </c>
      <c r="C288" t="s" s="2">
        <v>2890</v>
      </c>
      <c r="D288" s="2">
        <f>HYPERLINK("https://my.zakupki.prom.ua/remote/dispatcher/state_contracting_view/14833205", "UA-2022-12-08-013953-a-c1")</f>
        <v/>
      </c>
      <c r="E288" t="s" s="1">
        <v>1475</v>
      </c>
      <c r="F288" t="s" s="1">
        <v>2608</v>
      </c>
      <c r="G288" t="s" s="1">
        <v>2966</v>
      </c>
      <c r="H288" t="s" s="1">
        <v>919</v>
      </c>
      <c r="I288" t="s" s="1">
        <v>2017</v>
      </c>
      <c r="J288" t="s" s="1">
        <v>1927</v>
      </c>
      <c r="K288" t="s" s="1">
        <v>320</v>
      </c>
      <c r="L288" t="s" s="1">
        <v>1296</v>
      </c>
      <c r="M288" t="n" s="5">
        <v>375.0</v>
      </c>
      <c r="N288" t="n" s="7">
        <v>44903.0</v>
      </c>
      <c r="O288" t="n" s="7">
        <v>44926.0</v>
      </c>
      <c r="P288" t="s" s="1">
        <v>3259</v>
      </c>
    </row>
    <row r="289" spans="1:16">
      <c r="A289" t="n" s="4">
        <v>285</v>
      </c>
      <c r="B289" s="2">
        <f>HYPERLINK("https://my.zakupki.prom.ua/remote/dispatcher/state_purchase_view/39161827", "UA-2022-12-08-015517-a")</f>
        <v/>
      </c>
      <c r="C289" t="s" s="2">
        <v>2890</v>
      </c>
      <c r="D289" s="2">
        <f>HYPERLINK("https://my.zakupki.prom.ua/remote/dispatcher/state_contracting_view/14834751", "UA-2022-12-08-015517-a-c1")</f>
        <v/>
      </c>
      <c r="E289" t="s" s="1">
        <v>1428</v>
      </c>
      <c r="F289" t="s" s="1">
        <v>2581</v>
      </c>
      <c r="G289" t="s" s="1">
        <v>1871</v>
      </c>
      <c r="H289" t="s" s="1">
        <v>903</v>
      </c>
      <c r="I289" t="s" s="1">
        <v>2017</v>
      </c>
      <c r="J289" t="s" s="1">
        <v>1927</v>
      </c>
      <c r="K289" t="s" s="1">
        <v>320</v>
      </c>
      <c r="L289" t="s" s="1">
        <v>1299</v>
      </c>
      <c r="M289" t="n" s="5">
        <v>216.0</v>
      </c>
      <c r="N289" t="n" s="7">
        <v>44903.0</v>
      </c>
      <c r="O289" t="n" s="7">
        <v>44926.0</v>
      </c>
      <c r="P289" t="s" s="1">
        <v>3259</v>
      </c>
    </row>
    <row r="290" spans="1:16">
      <c r="A290" t="n" s="4">
        <v>286</v>
      </c>
      <c r="B290" s="2">
        <f>HYPERLINK("https://my.zakupki.prom.ua/remote/dispatcher/state_purchase_view/39164666", "UA-2022-12-08-016680-a")</f>
        <v/>
      </c>
      <c r="C290" t="s" s="2">
        <v>2890</v>
      </c>
      <c r="D290" s="2">
        <f>HYPERLINK("https://my.zakupki.prom.ua/remote/dispatcher/state_contracting_view/14836142", "UA-2022-12-08-016680-a-a1")</f>
        <v/>
      </c>
      <c r="E290" t="s" s="1">
        <v>1803</v>
      </c>
      <c r="F290" t="s" s="1">
        <v>2274</v>
      </c>
      <c r="G290" t="s" s="1">
        <v>2963</v>
      </c>
      <c r="H290" t="s" s="1">
        <v>426</v>
      </c>
      <c r="I290" t="s" s="1">
        <v>2017</v>
      </c>
      <c r="J290" t="s" s="1">
        <v>1927</v>
      </c>
      <c r="K290" t="s" s="1">
        <v>320</v>
      </c>
      <c r="L290" t="s" s="1">
        <v>1301</v>
      </c>
      <c r="M290" t="n" s="5">
        <v>235.0</v>
      </c>
      <c r="N290" t="n" s="7">
        <v>44903.0</v>
      </c>
      <c r="O290" t="n" s="7">
        <v>44926.0</v>
      </c>
      <c r="P290" t="s" s="1">
        <v>3259</v>
      </c>
    </row>
    <row r="291" spans="1:16">
      <c r="A291" t="n" s="4">
        <v>287</v>
      </c>
      <c r="B291" s="2">
        <f>HYPERLINK("https://my.zakupki.prom.ua/remote/dispatcher/state_purchase_view/39812107", "UA-2022-12-28-003109-a")</f>
        <v/>
      </c>
      <c r="C291" t="s" s="2">
        <v>2890</v>
      </c>
      <c r="D291" s="2">
        <f>HYPERLINK("https://my.zakupki.prom.ua/remote/dispatcher/state_contracting_view/15145304", "UA-2022-12-28-003109-a-a1")</f>
        <v/>
      </c>
      <c r="E291" t="s" s="1">
        <v>341</v>
      </c>
      <c r="F291" t="s" s="1">
        <v>2702</v>
      </c>
      <c r="G291" t="s" s="1">
        <v>2954</v>
      </c>
      <c r="H291" t="s" s="1">
        <v>1313</v>
      </c>
      <c r="I291" t="s" s="1">
        <v>2017</v>
      </c>
      <c r="J291" t="s" s="1">
        <v>3091</v>
      </c>
      <c r="K291" t="s" s="1">
        <v>906</v>
      </c>
      <c r="L291" t="s" s="1">
        <v>146</v>
      </c>
      <c r="M291" t="n" s="5">
        <v>4800.0</v>
      </c>
      <c r="N291" t="n" s="7">
        <v>44923.0</v>
      </c>
      <c r="O291" t="n" s="7">
        <v>44926.0</v>
      </c>
      <c r="P291" t="s" s="1">
        <v>3259</v>
      </c>
    </row>
    <row r="292" spans="1:16">
      <c r="A292" t="n" s="4">
        <v>288</v>
      </c>
      <c r="B292" s="2">
        <f>HYPERLINK("https://my.zakupki.prom.ua/remote/dispatcher/state_purchase_view/38089181", "UA-2022-10-21-000371-a")</f>
        <v/>
      </c>
      <c r="C292" t="s" s="2">
        <v>2890</v>
      </c>
      <c r="D292" s="2">
        <f>HYPERLINK("https://my.zakupki.prom.ua/remote/dispatcher/state_contracting_view/14332224", "UA-2022-10-21-000371-a-a1")</f>
        <v/>
      </c>
      <c r="E292" t="s" s="1">
        <v>108</v>
      </c>
      <c r="F292" t="s" s="1">
        <v>2523</v>
      </c>
      <c r="G292" t="s" s="1">
        <v>2523</v>
      </c>
      <c r="H292" t="s" s="1">
        <v>771</v>
      </c>
      <c r="I292" t="s" s="1">
        <v>2017</v>
      </c>
      <c r="J292" t="s" s="1">
        <v>1906</v>
      </c>
      <c r="K292" t="s" s="1">
        <v>491</v>
      </c>
      <c r="L292" t="s" s="1">
        <v>1160</v>
      </c>
      <c r="M292" t="n" s="5">
        <v>28800.0</v>
      </c>
      <c r="N292" t="n" s="7">
        <v>44854.0</v>
      </c>
      <c r="O292" t="n" s="7">
        <v>44926.0</v>
      </c>
      <c r="P292" t="s" s="1">
        <v>3259</v>
      </c>
    </row>
    <row r="293" spans="1:16">
      <c r="A293" t="n" s="4">
        <v>289</v>
      </c>
      <c r="B293" s="2">
        <f>HYPERLINK("https://my.zakupki.prom.ua/remote/dispatcher/state_purchase_view/38150395", "UA-2022-10-25-006538-a")</f>
        <v/>
      </c>
      <c r="C293" t="s" s="2">
        <v>2890</v>
      </c>
      <c r="D293" s="2">
        <f>HYPERLINK("https://my.zakupki.prom.ua/remote/dispatcher/state_contracting_view/14366496", "UA-2022-10-25-006538-a-c1")</f>
        <v/>
      </c>
      <c r="E293" t="s" s="1">
        <v>1649</v>
      </c>
      <c r="F293" t="s" s="1">
        <v>2179</v>
      </c>
      <c r="G293" t="s" s="1">
        <v>2179</v>
      </c>
      <c r="H293" t="s" s="1">
        <v>166</v>
      </c>
      <c r="I293" t="s" s="1">
        <v>2017</v>
      </c>
      <c r="J293" t="s" s="1">
        <v>1927</v>
      </c>
      <c r="K293" t="s" s="1">
        <v>320</v>
      </c>
      <c r="L293" t="s" s="1">
        <v>1167</v>
      </c>
      <c r="M293" t="n" s="5">
        <v>240.0</v>
      </c>
      <c r="N293" t="n" s="7">
        <v>44859.0</v>
      </c>
      <c r="O293" t="n" s="7">
        <v>44926.0</v>
      </c>
      <c r="P293" t="s" s="1">
        <v>3259</v>
      </c>
    </row>
    <row r="294" spans="1:16">
      <c r="A294" t="n" s="4">
        <v>290</v>
      </c>
      <c r="B294" s="2">
        <f>HYPERLINK("https://my.zakupki.prom.ua/remote/dispatcher/state_purchase_view/38150883", "UA-2022-10-25-006743-a")</f>
        <v/>
      </c>
      <c r="C294" t="s" s="2">
        <v>2890</v>
      </c>
      <c r="D294" s="2">
        <f>HYPERLINK("https://my.zakupki.prom.ua/remote/dispatcher/state_contracting_view/14366643", "UA-2022-10-25-006743-a-c1")</f>
        <v/>
      </c>
      <c r="E294" t="s" s="1">
        <v>1632</v>
      </c>
      <c r="F294" t="s" s="1">
        <v>2561</v>
      </c>
      <c r="G294" t="s" s="1">
        <v>3274</v>
      </c>
      <c r="H294" t="s" s="1">
        <v>900</v>
      </c>
      <c r="I294" t="s" s="1">
        <v>2017</v>
      </c>
      <c r="J294" t="s" s="1">
        <v>1927</v>
      </c>
      <c r="K294" t="s" s="1">
        <v>320</v>
      </c>
      <c r="L294" t="s" s="1">
        <v>1170</v>
      </c>
      <c r="M294" t="n" s="5">
        <v>842.0</v>
      </c>
      <c r="N294" t="n" s="7">
        <v>44859.0</v>
      </c>
      <c r="O294" t="n" s="7">
        <v>44926.0</v>
      </c>
      <c r="P294" t="s" s="1">
        <v>3259</v>
      </c>
    </row>
    <row r="295" spans="1:16">
      <c r="A295" t="n" s="4">
        <v>291</v>
      </c>
      <c r="B295" s="2">
        <f>HYPERLINK("https://my.zakupki.prom.ua/remote/dispatcher/state_purchase_view/38292951", "UA-2022-11-02-003186-a")</f>
        <v/>
      </c>
      <c r="C295" t="s" s="2">
        <v>2890</v>
      </c>
      <c r="D295" s="2">
        <f>HYPERLINK("https://my.zakupki.prom.ua/remote/dispatcher/state_contracting_view/14433725", "UA-2022-11-02-003186-a-b1")</f>
        <v/>
      </c>
      <c r="E295" t="s" s="1">
        <v>1831</v>
      </c>
      <c r="F295" t="s" s="1">
        <v>2724</v>
      </c>
      <c r="G295" t="s" s="1">
        <v>2724</v>
      </c>
      <c r="H295" t="s" s="1">
        <v>1320</v>
      </c>
      <c r="I295" t="s" s="1">
        <v>2017</v>
      </c>
      <c r="J295" t="s" s="1">
        <v>3133</v>
      </c>
      <c r="K295" t="s" s="1">
        <v>877</v>
      </c>
      <c r="L295" t="s" s="1">
        <v>1106</v>
      </c>
      <c r="M295" t="n" s="5">
        <v>13200.0</v>
      </c>
      <c r="N295" t="n" s="7">
        <v>44867.0</v>
      </c>
      <c r="O295" t="n" s="7">
        <v>44926.0</v>
      </c>
      <c r="P295" t="s" s="1">
        <v>3259</v>
      </c>
    </row>
    <row r="296" spans="1:16">
      <c r="A296" t="n" s="4">
        <v>292</v>
      </c>
      <c r="B296" s="2">
        <f>HYPERLINK("https://my.zakupki.prom.ua/remote/dispatcher/state_purchase_view/39782632", "UA-2022-12-27-008425-a")</f>
        <v/>
      </c>
      <c r="C296" t="s" s="2">
        <v>2890</v>
      </c>
      <c r="D296" s="2">
        <f>HYPERLINK("https://my.zakupki.prom.ua/remote/dispatcher/state_contracting_view/15130629", "UA-2022-12-27-008425-a-c1")</f>
        <v/>
      </c>
      <c r="E296" t="s" s="1">
        <v>1748</v>
      </c>
      <c r="F296" t="s" s="1">
        <v>2574</v>
      </c>
      <c r="G296" t="s" s="1">
        <v>1890</v>
      </c>
      <c r="H296" t="s" s="1">
        <v>902</v>
      </c>
      <c r="I296" t="s" s="1">
        <v>2017</v>
      </c>
      <c r="J296" t="s" s="1">
        <v>2904</v>
      </c>
      <c r="K296" t="s" s="1">
        <v>688</v>
      </c>
      <c r="L296" t="s" s="1">
        <v>1377</v>
      </c>
      <c r="M296" t="n" s="5">
        <v>3857.4</v>
      </c>
      <c r="N296" t="n" s="7">
        <v>44922.0</v>
      </c>
      <c r="O296" t="n" s="7">
        <v>44926.0</v>
      </c>
      <c r="P296" t="s" s="1">
        <v>3259</v>
      </c>
    </row>
    <row r="297" spans="1:16">
      <c r="A297" t="n" s="4">
        <v>293</v>
      </c>
      <c r="B297" s="2">
        <f>HYPERLINK("https://my.zakupki.prom.ua/remote/dispatcher/state_purchase_view/37918875", "UA-2022-10-11-006548-a")</f>
        <v/>
      </c>
      <c r="C297" t="s" s="2">
        <v>2890</v>
      </c>
      <c r="D297" s="2">
        <f>HYPERLINK("https://my.zakupki.prom.ua/remote/dispatcher/state_contracting_view/14247209", "UA-2022-10-11-006548-a-c1")</f>
        <v/>
      </c>
      <c r="E297" t="s" s="1">
        <v>1407</v>
      </c>
      <c r="F297" t="s" s="1">
        <v>2479</v>
      </c>
      <c r="G297" t="s" s="1">
        <v>3204</v>
      </c>
      <c r="H297" t="s" s="1">
        <v>650</v>
      </c>
      <c r="I297" t="s" s="1">
        <v>2017</v>
      </c>
      <c r="J297" t="s" s="1">
        <v>3113</v>
      </c>
      <c r="K297" t="s" s="1">
        <v>398</v>
      </c>
      <c r="L297" t="s" s="1">
        <v>1115</v>
      </c>
      <c r="M297" t="n" s="5">
        <v>223636.1</v>
      </c>
      <c r="N297" t="n" s="7">
        <v>44845.0</v>
      </c>
      <c r="O297" t="n" s="7">
        <v>44926.0</v>
      </c>
      <c r="P297" t="s" s="1">
        <v>3259</v>
      </c>
    </row>
    <row r="298" spans="1:16">
      <c r="A298" t="n" s="4">
        <v>294</v>
      </c>
      <c r="B298" s="2">
        <f>HYPERLINK("https://my.zakupki.prom.ua/remote/dispatcher/state_purchase_view/39030166", "UA-2022-12-05-010686-a")</f>
        <v/>
      </c>
      <c r="C298" t="s" s="2">
        <v>2890</v>
      </c>
      <c r="D298" s="2">
        <f>HYPERLINK("https://my.zakupki.prom.ua/remote/dispatcher/state_contracting_view/14774244", "UA-2022-12-05-010686-a-a1")</f>
        <v/>
      </c>
      <c r="E298" t="s" s="1">
        <v>1205</v>
      </c>
      <c r="F298" t="s" s="1">
        <v>2669</v>
      </c>
      <c r="G298" t="s" s="1">
        <v>2971</v>
      </c>
      <c r="H298" t="s" s="1">
        <v>1024</v>
      </c>
      <c r="I298" t="s" s="1">
        <v>2017</v>
      </c>
      <c r="J298" t="s" s="1">
        <v>2859</v>
      </c>
      <c r="K298" t="s" s="1">
        <v>541</v>
      </c>
      <c r="L298" t="s" s="1">
        <v>1262</v>
      </c>
      <c r="M298" t="n" s="5">
        <v>1070.0</v>
      </c>
      <c r="N298" t="n" s="7">
        <v>44900.0</v>
      </c>
      <c r="O298" t="n" s="7">
        <v>44926.0</v>
      </c>
      <c r="P298" t="s" s="1">
        <v>3259</v>
      </c>
    </row>
    <row r="299" spans="1:16">
      <c r="A299" t="n" s="4">
        <v>295</v>
      </c>
      <c r="B299" s="2">
        <f>HYPERLINK("https://my.zakupki.prom.ua/remote/dispatcher/state_purchase_view/38647751", "UA-2022-11-18-001363-a")</f>
        <v/>
      </c>
      <c r="C299" t="s" s="2">
        <v>2890</v>
      </c>
      <c r="D299" s="2">
        <f>HYPERLINK("https://my.zakupki.prom.ua/remote/dispatcher/state_contracting_view/14599157", "UA-2022-11-18-001363-a-c1")</f>
        <v/>
      </c>
      <c r="E299" t="s" s="1">
        <v>282</v>
      </c>
      <c r="F299" t="s" s="1">
        <v>2252</v>
      </c>
      <c r="G299" t="s" s="1">
        <v>2252</v>
      </c>
      <c r="H299" t="s" s="1">
        <v>378</v>
      </c>
      <c r="I299" t="s" s="1">
        <v>2017</v>
      </c>
      <c r="J299" t="s" s="1">
        <v>1951</v>
      </c>
      <c r="K299" t="s" s="1">
        <v>560</v>
      </c>
      <c r="L299" t="s" s="1">
        <v>1231</v>
      </c>
      <c r="M299" t="n" s="5">
        <v>17400.0</v>
      </c>
      <c r="N299" t="n" s="7">
        <v>44882.0</v>
      </c>
      <c r="O299" t="n" s="7">
        <v>44926.0</v>
      </c>
      <c r="P299" t="s" s="1">
        <v>3259</v>
      </c>
    </row>
    <row r="300" spans="1:16">
      <c r="A300" t="n" s="4">
        <v>296</v>
      </c>
      <c r="B300" s="2">
        <f>HYPERLINK("https://my.zakupki.prom.ua/remote/dispatcher/state_purchase_view/38653310", "UA-2022-11-18-004075-a")</f>
        <v/>
      </c>
      <c r="C300" t="s" s="2">
        <v>2890</v>
      </c>
      <c r="D300" s="2">
        <f>HYPERLINK("https://my.zakupki.prom.ua/remote/dispatcher/state_contracting_view/14601742", "UA-2022-11-18-004075-a-b1")</f>
        <v/>
      </c>
      <c r="E300" t="s" s="1">
        <v>1499</v>
      </c>
      <c r="F300" t="s" s="1">
        <v>2523</v>
      </c>
      <c r="G300" t="s" s="1">
        <v>2523</v>
      </c>
      <c r="H300" t="s" s="1">
        <v>771</v>
      </c>
      <c r="I300" t="s" s="1">
        <v>2017</v>
      </c>
      <c r="J300" t="s" s="1">
        <v>1906</v>
      </c>
      <c r="K300" t="s" s="1">
        <v>491</v>
      </c>
      <c r="L300" t="s" s="1">
        <v>1236</v>
      </c>
      <c r="M300" t="n" s="5">
        <v>29880.0</v>
      </c>
      <c r="N300" t="n" s="7">
        <v>44883.0</v>
      </c>
      <c r="O300" t="n" s="7">
        <v>44926.0</v>
      </c>
      <c r="P300" t="s" s="1">
        <v>3259</v>
      </c>
    </row>
    <row r="301" spans="1:16">
      <c r="A301" t="n" s="4">
        <v>297</v>
      </c>
      <c r="B301" s="2">
        <f>HYPERLINK("https://my.zakupki.prom.ua/remote/dispatcher/state_purchase_view/38994365", "UA-2022-12-02-014271-a")</f>
        <v/>
      </c>
      <c r="C301" t="s" s="2">
        <v>2890</v>
      </c>
      <c r="D301" s="2">
        <f>HYPERLINK("https://my.zakupki.prom.ua/remote/dispatcher/state_contracting_view/14757706", "UA-2022-12-02-014271-a-b1")</f>
        <v/>
      </c>
      <c r="E301" t="s" s="1">
        <v>1193</v>
      </c>
      <c r="F301" t="s" s="1">
        <v>2773</v>
      </c>
      <c r="G301" t="s" s="1">
        <v>1936</v>
      </c>
      <c r="H301" t="s" s="1">
        <v>1445</v>
      </c>
      <c r="I301" t="s" s="1">
        <v>2017</v>
      </c>
      <c r="J301" t="s" s="1">
        <v>3097</v>
      </c>
      <c r="K301" t="s" s="1">
        <v>773</v>
      </c>
      <c r="L301" t="s" s="1">
        <v>1258</v>
      </c>
      <c r="M301" t="n" s="5">
        <v>51158.86</v>
      </c>
      <c r="N301" t="n" s="7">
        <v>44895.0</v>
      </c>
      <c r="O301" t="n" s="7">
        <v>44926.0</v>
      </c>
      <c r="P301" t="s" s="1">
        <v>3259</v>
      </c>
    </row>
    <row r="302" spans="1:16">
      <c r="A302" t="n" s="4">
        <v>298</v>
      </c>
      <c r="B302" s="2">
        <f>HYPERLINK("https://my.zakupki.prom.ua/remote/dispatcher/state_purchase_view/35637635", "UA-2022-03-14-001836-a")</f>
        <v/>
      </c>
      <c r="C302" t="s" s="2">
        <v>2890</v>
      </c>
      <c r="D302" s="2">
        <f>HYPERLINK("https://my.zakupki.prom.ua/remote/dispatcher/state_contracting_view/13117048", "UA-2022-03-14-001836-a-a1")</f>
        <v/>
      </c>
      <c r="E302" t="s" s="1">
        <v>1395</v>
      </c>
      <c r="F302" t="s" s="1">
        <v>2355</v>
      </c>
      <c r="G302" t="s" s="1">
        <v>3294</v>
      </c>
      <c r="H302" t="s" s="1">
        <v>638</v>
      </c>
      <c r="I302" t="s" s="1">
        <v>2017</v>
      </c>
      <c r="J302" t="s" s="1">
        <v>3125</v>
      </c>
      <c r="K302" t="s" s="1">
        <v>690</v>
      </c>
      <c r="L302" t="s" s="1">
        <v>205</v>
      </c>
      <c r="M302" t="n" s="5">
        <v>18666.0</v>
      </c>
      <c r="N302" t="n" s="7">
        <v>44634.0</v>
      </c>
      <c r="O302" t="n" s="7">
        <v>44926.0</v>
      </c>
      <c r="P302" t="s" s="1">
        <v>3259</v>
      </c>
    </row>
    <row r="303" spans="1:16">
      <c r="A303" t="n" s="4">
        <v>299</v>
      </c>
      <c r="B303" s="2">
        <f>HYPERLINK("https://my.zakupki.prom.ua/remote/dispatcher/state_purchase_view/35939513", "UA-2022-04-15-002833-b")</f>
        <v/>
      </c>
      <c r="C303" t="s" s="2">
        <v>2890</v>
      </c>
      <c r="D303" s="2">
        <f>HYPERLINK("https://my.zakupki.prom.ua/remote/dispatcher/state_contracting_view/13275450", "UA-2022-04-15-002833-b-b1")</f>
        <v/>
      </c>
      <c r="E303" t="s" s="1">
        <v>1609</v>
      </c>
      <c r="F303" t="s" s="1">
        <v>2325</v>
      </c>
      <c r="G303" t="s" s="1">
        <v>2325</v>
      </c>
      <c r="H303" t="s" s="1">
        <v>636</v>
      </c>
      <c r="I303" t="s" s="1">
        <v>2017</v>
      </c>
      <c r="J303" t="s" s="1">
        <v>3113</v>
      </c>
      <c r="K303" t="s" s="1">
        <v>398</v>
      </c>
      <c r="L303" t="s" s="1">
        <v>380</v>
      </c>
      <c r="M303" t="n" s="5">
        <v>4499.99</v>
      </c>
      <c r="N303" t="n" s="7">
        <v>44666.0</v>
      </c>
      <c r="O303" t="n" s="7">
        <v>44926.0</v>
      </c>
      <c r="P303" t="s" s="1">
        <v>3259</v>
      </c>
    </row>
    <row r="304" spans="1:16">
      <c r="A304" t="n" s="4">
        <v>300</v>
      </c>
      <c r="B304" s="2">
        <f>HYPERLINK("https://my.zakupki.prom.ua/remote/dispatcher/state_purchase_view/35939262", "UA-2022-04-15-002746-b")</f>
        <v/>
      </c>
      <c r="C304" t="s" s="2">
        <v>2890</v>
      </c>
      <c r="D304" s="2">
        <f>HYPERLINK("https://my.zakupki.prom.ua/remote/dispatcher/state_contracting_view/13275235", "UA-2022-04-15-002746-b-b1")</f>
        <v/>
      </c>
      <c r="E304" t="s" s="1">
        <v>532</v>
      </c>
      <c r="F304" t="s" s="1">
        <v>2120</v>
      </c>
      <c r="G304" t="s" s="1">
        <v>3275</v>
      </c>
      <c r="H304" t="s" s="1">
        <v>638</v>
      </c>
      <c r="I304" t="s" s="1">
        <v>2017</v>
      </c>
      <c r="J304" t="s" s="1">
        <v>3113</v>
      </c>
      <c r="K304" t="s" s="1">
        <v>398</v>
      </c>
      <c r="L304" t="s" s="1">
        <v>374</v>
      </c>
      <c r="M304" t="n" s="5">
        <v>1149.1</v>
      </c>
      <c r="N304" t="n" s="7">
        <v>44666.0</v>
      </c>
      <c r="O304" t="n" s="7">
        <v>44926.0</v>
      </c>
      <c r="P304" t="s" s="1">
        <v>3259</v>
      </c>
    </row>
    <row r="305" spans="1:16">
      <c r="A305" t="n" s="4">
        <v>301</v>
      </c>
      <c r="B305" s="2">
        <f>HYPERLINK("https://my.zakupki.prom.ua/remote/dispatcher/state_purchase_view/37719318", "UA-2022-09-27-009968-a")</f>
        <v/>
      </c>
      <c r="C305" t="s" s="2">
        <v>2890</v>
      </c>
      <c r="D305" s="2">
        <f>HYPERLINK("https://my.zakupki.prom.ua/remote/dispatcher/state_contracting_view/14149695", "UA-2022-09-27-009968-a-b1")</f>
        <v/>
      </c>
      <c r="E305" t="s" s="1">
        <v>1809</v>
      </c>
      <c r="F305" t="s" s="1">
        <v>2634</v>
      </c>
      <c r="G305" t="s" s="1">
        <v>1963</v>
      </c>
      <c r="H305" t="s" s="1">
        <v>933</v>
      </c>
      <c r="I305" t="s" s="1">
        <v>2017</v>
      </c>
      <c r="J305" t="s" s="1">
        <v>1927</v>
      </c>
      <c r="K305" t="s" s="1">
        <v>320</v>
      </c>
      <c r="L305" t="s" s="1">
        <v>1085</v>
      </c>
      <c r="M305" t="n" s="5">
        <v>835.0</v>
      </c>
      <c r="N305" t="n" s="7">
        <v>44831.0</v>
      </c>
      <c r="O305" t="n" s="7">
        <v>44926.0</v>
      </c>
      <c r="P305" t="s" s="1">
        <v>3259</v>
      </c>
    </row>
    <row r="306" spans="1:16">
      <c r="A306" t="n" s="4">
        <v>302</v>
      </c>
      <c r="B306" s="2">
        <f>HYPERLINK("https://my.zakupki.prom.ua/remote/dispatcher/state_purchase_view/37714905", "UA-2022-09-27-007614-a")</f>
        <v/>
      </c>
      <c r="C306" t="s" s="2">
        <v>2890</v>
      </c>
      <c r="D306" s="2">
        <f>HYPERLINK("https://my.zakupki.prom.ua/remote/dispatcher/state_contracting_view/14147448", "UA-2022-09-27-007614-a-c1")</f>
        <v/>
      </c>
      <c r="E306" t="s" s="1">
        <v>1451</v>
      </c>
      <c r="F306" t="s" s="1">
        <v>2624</v>
      </c>
      <c r="G306" t="s" s="1">
        <v>1931</v>
      </c>
      <c r="H306" t="s" s="1">
        <v>931</v>
      </c>
      <c r="I306" t="s" s="1">
        <v>2017</v>
      </c>
      <c r="J306" t="s" s="1">
        <v>1927</v>
      </c>
      <c r="K306" t="s" s="1">
        <v>320</v>
      </c>
      <c r="L306" t="s" s="1">
        <v>1078</v>
      </c>
      <c r="M306" t="n" s="5">
        <v>712.0</v>
      </c>
      <c r="N306" t="n" s="7">
        <v>44831.0</v>
      </c>
      <c r="O306" t="n" s="7">
        <v>44926.0</v>
      </c>
      <c r="P306" t="s" s="1">
        <v>3259</v>
      </c>
    </row>
    <row r="307" spans="1:16">
      <c r="A307" t="n" s="4">
        <v>303</v>
      </c>
      <c r="B307" s="2">
        <f>HYPERLINK("https://my.zakupki.prom.ua/remote/dispatcher/state_purchase_view/36823078", "UA-2022-07-27-002431-a")</f>
        <v/>
      </c>
      <c r="C307" t="s" s="2">
        <v>2890</v>
      </c>
      <c r="D307" s="2">
        <f>HYPERLINK("https://my.zakupki.prom.ua/remote/dispatcher/state_contracting_view/13715910", "UA-2022-07-27-002431-a-b1")</f>
        <v/>
      </c>
      <c r="E307" t="s" s="1">
        <v>1553</v>
      </c>
      <c r="F307" t="s" s="1">
        <v>2211</v>
      </c>
      <c r="G307" t="s" s="1">
        <v>3220</v>
      </c>
      <c r="H307" t="s" s="1">
        <v>196</v>
      </c>
      <c r="I307" t="s" s="1">
        <v>2017</v>
      </c>
      <c r="J307" t="s" s="1">
        <v>3237</v>
      </c>
      <c r="K307" t="s" s="1">
        <v>687</v>
      </c>
      <c r="L307" t="s" s="1">
        <v>897</v>
      </c>
      <c r="M307" t="n" s="5">
        <v>9000.0</v>
      </c>
      <c r="N307" t="n" s="7">
        <v>44768.0</v>
      </c>
      <c r="O307" t="n" s="7">
        <v>44926.0</v>
      </c>
      <c r="P307" t="s" s="1">
        <v>3259</v>
      </c>
    </row>
    <row r="308" spans="1:16">
      <c r="A308" t="n" s="4">
        <v>304</v>
      </c>
      <c r="B308" s="2">
        <f>HYPERLINK("https://my.zakupki.prom.ua/remote/dispatcher/state_purchase_view/36843274", "UA-2022-07-28-003930-a")</f>
        <v/>
      </c>
      <c r="C308" t="s" s="2">
        <v>2890</v>
      </c>
      <c r="D308" s="2">
        <f>HYPERLINK("https://my.zakupki.prom.ua/remote/dispatcher/state_contracting_view/13725035", "UA-2022-07-28-003930-a-b1")</f>
        <v/>
      </c>
      <c r="E308" t="s" s="1">
        <v>1068</v>
      </c>
      <c r="F308" t="s" s="1">
        <v>2322</v>
      </c>
      <c r="G308" t="s" s="1">
        <v>3150</v>
      </c>
      <c r="H308" t="s" s="1">
        <v>636</v>
      </c>
      <c r="I308" t="s" s="1">
        <v>2017</v>
      </c>
      <c r="J308" t="s" s="1">
        <v>3098</v>
      </c>
      <c r="K308" t="s" s="1">
        <v>652</v>
      </c>
      <c r="L308" t="s" s="1">
        <v>222</v>
      </c>
      <c r="M308" t="n" s="5">
        <v>7805.0</v>
      </c>
      <c r="N308" t="n" s="7">
        <v>44770.0</v>
      </c>
      <c r="O308" t="n" s="7">
        <v>44926.0</v>
      </c>
      <c r="P308" t="s" s="1">
        <v>3259</v>
      </c>
    </row>
    <row r="309" spans="1:16">
      <c r="A309" t="n" s="4">
        <v>305</v>
      </c>
      <c r="B309" s="2">
        <f>HYPERLINK("https://my.zakupki.prom.ua/remote/dispatcher/state_purchase_view/36719456", "UA-2022-07-19-000432-a")</f>
        <v/>
      </c>
      <c r="C309" t="s" s="2">
        <v>2890</v>
      </c>
      <c r="D309" s="2">
        <f>HYPERLINK("https://my.zakupki.prom.ua/remote/dispatcher/state_contracting_view/13667263", "UA-2022-07-19-000432-a-b1")</f>
        <v/>
      </c>
      <c r="E309" t="s" s="1">
        <v>1281</v>
      </c>
      <c r="F309" t="s" s="1">
        <v>2607</v>
      </c>
      <c r="G309" t="s" s="1">
        <v>2881</v>
      </c>
      <c r="H309" t="s" s="1">
        <v>919</v>
      </c>
      <c r="I309" t="s" s="1">
        <v>2017</v>
      </c>
      <c r="J309" t="s" s="1">
        <v>1927</v>
      </c>
      <c r="K309" t="s" s="1">
        <v>320</v>
      </c>
      <c r="L309" t="s" s="1">
        <v>793</v>
      </c>
      <c r="M309" t="n" s="5">
        <v>1030.0</v>
      </c>
      <c r="N309" t="n" s="7">
        <v>44760.0</v>
      </c>
      <c r="O309" t="n" s="7">
        <v>44926.0</v>
      </c>
      <c r="P309" t="s" s="1">
        <v>3259</v>
      </c>
    </row>
    <row r="310" spans="1:16">
      <c r="A310" t="n" s="4">
        <v>306</v>
      </c>
      <c r="B310" s="2">
        <f>HYPERLINK("https://my.zakupki.prom.ua/remote/dispatcher/state_purchase_view/35939127", "UA-2022-04-15-002706-b")</f>
        <v/>
      </c>
      <c r="C310" t="s" s="2">
        <v>2890</v>
      </c>
      <c r="D310" s="2">
        <f>HYPERLINK("https://my.zakupki.prom.ua/remote/dispatcher/state_contracting_view/13275208", "UA-2022-04-15-002706-b-b1")</f>
        <v/>
      </c>
      <c r="E310" t="s" s="1">
        <v>1813</v>
      </c>
      <c r="F310" t="s" s="1">
        <v>2500</v>
      </c>
      <c r="G310" t="s" s="1">
        <v>3273</v>
      </c>
      <c r="H310" t="s" s="1">
        <v>657</v>
      </c>
      <c r="I310" t="s" s="1">
        <v>2017</v>
      </c>
      <c r="J310" t="s" s="1">
        <v>3113</v>
      </c>
      <c r="K310" t="s" s="1">
        <v>398</v>
      </c>
      <c r="L310" t="s" s="1">
        <v>373</v>
      </c>
      <c r="M310" t="n" s="5">
        <v>2554.3</v>
      </c>
      <c r="N310" t="n" s="7">
        <v>44666.0</v>
      </c>
      <c r="O310" t="n" s="7">
        <v>44926.0</v>
      </c>
      <c r="P310" t="s" s="1">
        <v>3259</v>
      </c>
    </row>
    <row r="311" spans="1:16">
      <c r="A311" t="n" s="4">
        <v>307</v>
      </c>
      <c r="B311" s="2">
        <f>HYPERLINK("https://my.zakupki.prom.ua/remote/dispatcher/state_purchase_view/35626120", "UA-2022-03-11-002283-a")</f>
        <v/>
      </c>
      <c r="C311" t="s" s="2">
        <v>2890</v>
      </c>
      <c r="D311" s="2">
        <f>HYPERLINK("https://my.zakupki.prom.ua/remote/dispatcher/state_contracting_view/13110476", "UA-2022-03-11-002283-a-a1")</f>
        <v/>
      </c>
      <c r="E311" t="s" s="1">
        <v>626</v>
      </c>
      <c r="F311" t="s" s="1">
        <v>2412</v>
      </c>
      <c r="G311" t="s" s="1">
        <v>2066</v>
      </c>
      <c r="H311" t="s" s="1">
        <v>650</v>
      </c>
      <c r="I311" t="s" s="1">
        <v>2017</v>
      </c>
      <c r="J311" t="s" s="1">
        <v>3124</v>
      </c>
      <c r="K311" t="s" s="1">
        <v>337</v>
      </c>
      <c r="L311" t="s" s="1">
        <v>213</v>
      </c>
      <c r="M311" t="n" s="5">
        <v>52718.9</v>
      </c>
      <c r="N311" t="n" s="7">
        <v>44630.0</v>
      </c>
      <c r="O311" t="n" s="7">
        <v>44926.0</v>
      </c>
      <c r="P311" t="s" s="1">
        <v>3259</v>
      </c>
    </row>
    <row r="312" spans="1:16">
      <c r="A312" t="n" s="4">
        <v>308</v>
      </c>
      <c r="B312" s="2">
        <f>HYPERLINK("https://my.zakupki.prom.ua/remote/dispatcher/state_purchase_view/35625350", "UA-2022-03-11-002047-a")</f>
        <v/>
      </c>
      <c r="C312" t="s" s="2">
        <v>2890</v>
      </c>
      <c r="D312" s="2">
        <f>HYPERLINK("https://my.zakupki.prom.ua/remote/dispatcher/state_contracting_view/13110198", "UA-2022-03-11-002047-a-a1")</f>
        <v/>
      </c>
      <c r="E312" t="s" s="1">
        <v>1774</v>
      </c>
      <c r="F312" t="s" s="1">
        <v>2431</v>
      </c>
      <c r="G312" t="s" s="1">
        <v>2431</v>
      </c>
      <c r="H312" t="s" s="1">
        <v>650</v>
      </c>
      <c r="I312" t="s" s="1">
        <v>2017</v>
      </c>
      <c r="J312" t="s" s="1">
        <v>3113</v>
      </c>
      <c r="K312" t="s" s="1">
        <v>398</v>
      </c>
      <c r="L312" t="s" s="1">
        <v>178</v>
      </c>
      <c r="M312" t="n" s="5">
        <v>2363.0</v>
      </c>
      <c r="N312" t="n" s="7">
        <v>44631.0</v>
      </c>
      <c r="O312" t="n" s="7">
        <v>44926.0</v>
      </c>
      <c r="P312" t="s" s="1">
        <v>3259</v>
      </c>
    </row>
    <row r="313" spans="1:16">
      <c r="A313" t="n" s="4">
        <v>309</v>
      </c>
      <c r="B313" s="2">
        <f>HYPERLINK("https://my.zakupki.prom.ua/remote/dispatcher/state_purchase_view/36224534", "UA-2022-05-27-001102-a")</f>
        <v/>
      </c>
      <c r="C313" t="s" s="2">
        <v>2890</v>
      </c>
      <c r="D313" s="2">
        <f>HYPERLINK("https://my.zakupki.prom.ua/remote/dispatcher/state_contracting_view/13422085", "UA-2022-05-27-001102-a-b1")</f>
        <v/>
      </c>
      <c r="E313" t="s" s="1">
        <v>1784</v>
      </c>
      <c r="F313" t="s" s="1">
        <v>2526</v>
      </c>
      <c r="G313" t="s" s="1">
        <v>2526</v>
      </c>
      <c r="H313" t="s" s="1">
        <v>774</v>
      </c>
      <c r="I313" t="s" s="1">
        <v>2017</v>
      </c>
      <c r="J313" t="s" s="1">
        <v>1927</v>
      </c>
      <c r="K313" t="s" s="1">
        <v>320</v>
      </c>
      <c r="L313" t="s" s="1">
        <v>514</v>
      </c>
      <c r="M313" t="n" s="5">
        <v>224.0</v>
      </c>
      <c r="N313" t="n" s="7">
        <v>44708.0</v>
      </c>
      <c r="O313" t="n" s="7">
        <v>44926.0</v>
      </c>
      <c r="P313" t="s" s="1">
        <v>3259</v>
      </c>
    </row>
    <row r="314" spans="1:16">
      <c r="A314" t="n" s="4">
        <v>310</v>
      </c>
      <c r="B314" s="2">
        <f>HYPERLINK("https://my.zakupki.prom.ua/remote/dispatcher/state_purchase_view/36224950", "UA-2022-05-27-001330-a")</f>
        <v/>
      </c>
      <c r="C314" t="s" s="2">
        <v>2890</v>
      </c>
      <c r="D314" s="2">
        <f>HYPERLINK("https://my.zakupki.prom.ua/remote/dispatcher/state_contracting_view/13422320", "UA-2022-05-27-001330-a-b1")</f>
        <v/>
      </c>
      <c r="E314" t="s" s="1">
        <v>1622</v>
      </c>
      <c r="F314" t="s" s="1">
        <v>2611</v>
      </c>
      <c r="G314" t="s" s="1">
        <v>2611</v>
      </c>
      <c r="H314" t="s" s="1">
        <v>921</v>
      </c>
      <c r="I314" t="s" s="1">
        <v>2017</v>
      </c>
      <c r="J314" t="s" s="1">
        <v>1927</v>
      </c>
      <c r="K314" t="s" s="1">
        <v>320</v>
      </c>
      <c r="L314" t="s" s="1">
        <v>518</v>
      </c>
      <c r="M314" t="n" s="5">
        <v>858.0</v>
      </c>
      <c r="N314" t="n" s="7">
        <v>44708.0</v>
      </c>
      <c r="O314" t="n" s="7">
        <v>44926.0</v>
      </c>
      <c r="P314" t="s" s="1">
        <v>3259</v>
      </c>
    </row>
    <row r="315" spans="1:16">
      <c r="A315" t="n" s="4">
        <v>311</v>
      </c>
      <c r="B315" s="2">
        <f>HYPERLINK("https://my.zakupki.prom.ua/remote/dispatcher/state_purchase_view/35948555", "UA-2022-04-18-002766-a")</f>
        <v/>
      </c>
      <c r="C315" t="s" s="2">
        <v>2890</v>
      </c>
      <c r="D315" s="2">
        <f>HYPERLINK("https://my.zakupki.prom.ua/remote/dispatcher/state_contracting_view/13280041", "UA-2022-04-18-002766-a-a1")</f>
        <v/>
      </c>
      <c r="E315" t="s" s="1">
        <v>1133</v>
      </c>
      <c r="F315" t="s" s="1">
        <v>2271</v>
      </c>
      <c r="G315" t="s" s="1">
        <v>2271</v>
      </c>
      <c r="H315" t="s" s="1">
        <v>426</v>
      </c>
      <c r="I315" t="s" s="1">
        <v>2017</v>
      </c>
      <c r="J315" t="s" s="1">
        <v>2852</v>
      </c>
      <c r="K315" t="s" s="1">
        <v>318</v>
      </c>
      <c r="L315" t="s" s="1">
        <v>410</v>
      </c>
      <c r="M315" t="n" s="5">
        <v>246.1</v>
      </c>
      <c r="N315" t="n" s="7">
        <v>44669.0</v>
      </c>
      <c r="O315" t="n" s="7">
        <v>44926.0</v>
      </c>
      <c r="P315" t="s" s="1">
        <v>3259</v>
      </c>
    </row>
    <row r="316" spans="1:16">
      <c r="A316" t="n" s="4">
        <v>312</v>
      </c>
      <c r="B316" s="2">
        <f>HYPERLINK("https://my.zakupki.prom.ua/remote/dispatcher/state_purchase_view/35223274", "UA-2022-02-16-002980-b")</f>
        <v/>
      </c>
      <c r="C316" t="s" s="2">
        <v>2890</v>
      </c>
      <c r="D316" s="2">
        <f>HYPERLINK("https://my.zakupki.prom.ua/remote/dispatcher/state_contracting_view/12913840", "UA-2022-02-16-002980-b-b1")</f>
        <v/>
      </c>
      <c r="E316" t="s" s="1">
        <v>1645</v>
      </c>
      <c r="F316" t="s" s="1">
        <v>2298</v>
      </c>
      <c r="G316" t="s" s="1">
        <v>2849</v>
      </c>
      <c r="H316" t="s" s="1">
        <v>582</v>
      </c>
      <c r="I316" t="s" s="1">
        <v>2017</v>
      </c>
      <c r="J316" t="s" s="1">
        <v>1927</v>
      </c>
      <c r="K316" t="s" s="1">
        <v>320</v>
      </c>
      <c r="L316" t="s" s="1">
        <v>99</v>
      </c>
      <c r="M316" t="n" s="5">
        <v>8562.0</v>
      </c>
      <c r="N316" t="n" s="7">
        <v>44607.0</v>
      </c>
      <c r="O316" t="n" s="7">
        <v>44926.0</v>
      </c>
      <c r="P316" t="s" s="1">
        <v>3259</v>
      </c>
    </row>
    <row r="317" spans="1:16">
      <c r="A317" t="n" s="4">
        <v>313</v>
      </c>
      <c r="B317" s="2">
        <f>HYPERLINK("https://my.zakupki.prom.ua/remote/dispatcher/state_purchase_view/36112549", "UA-2022-05-12-003480-a")</f>
        <v/>
      </c>
      <c r="C317" t="s" s="2">
        <v>2890</v>
      </c>
      <c r="D317" s="2">
        <f>HYPERLINK("https://my.zakupki.prom.ua/remote/dispatcher/state_contracting_view/13362440", "UA-2022-05-12-003480-a-a1")</f>
        <v/>
      </c>
      <c r="E317" t="s" s="1">
        <v>56</v>
      </c>
      <c r="F317" t="s" s="1">
        <v>2753</v>
      </c>
      <c r="G317" t="s" s="1">
        <v>2753</v>
      </c>
      <c r="H317" t="s" s="1">
        <v>1422</v>
      </c>
      <c r="I317" t="s" s="1">
        <v>2017</v>
      </c>
      <c r="J317" t="s" s="1">
        <v>2878</v>
      </c>
      <c r="K317" t="s" s="1">
        <v>450</v>
      </c>
      <c r="L317" t="s" s="1">
        <v>2990</v>
      </c>
      <c r="M317" t="n" s="5">
        <v>5008.95</v>
      </c>
      <c r="N317" t="n" s="7">
        <v>44693.0</v>
      </c>
      <c r="O317" t="n" s="7">
        <v>44926.0</v>
      </c>
      <c r="P317" t="s" s="1">
        <v>3259</v>
      </c>
    </row>
    <row r="318" spans="1:16">
      <c r="A318" t="n" s="4">
        <v>314</v>
      </c>
      <c r="B318" s="2">
        <f>HYPERLINK("https://my.zakupki.prom.ua/remote/dispatcher/state_purchase_view/33958476", "UA-2022-01-06-001007-c")</f>
        <v/>
      </c>
      <c r="C318" t="s" s="2">
        <v>2890</v>
      </c>
      <c r="D318" s="2">
        <f>HYPERLINK("https://my.zakupki.prom.ua/remote/dispatcher/state_contracting_view/12347733", "UA-2022-01-06-001007-c-c1")</f>
        <v/>
      </c>
      <c r="E318" t="s" s="1">
        <v>1610</v>
      </c>
      <c r="F318" t="s" s="1">
        <v>2691</v>
      </c>
      <c r="G318" t="s" s="1">
        <v>2691</v>
      </c>
      <c r="H318" t="s" s="1">
        <v>1155</v>
      </c>
      <c r="I318" t="s" s="1">
        <v>2017</v>
      </c>
      <c r="J318" t="s" s="1">
        <v>3074</v>
      </c>
      <c r="K318" t="s" s="1">
        <v>575</v>
      </c>
      <c r="L318" t="s" s="1">
        <v>97</v>
      </c>
      <c r="M318" t="n" s="5">
        <v>47520.0</v>
      </c>
      <c r="N318" t="n" s="7">
        <v>44565.0</v>
      </c>
      <c r="O318" t="n" s="7">
        <v>44926.0</v>
      </c>
      <c r="P318" t="s" s="1">
        <v>3259</v>
      </c>
    </row>
    <row r="319" spans="1:16">
      <c r="A319" t="n" s="4">
        <v>315</v>
      </c>
      <c r="B319" s="2">
        <f>HYPERLINK("https://my.zakupki.prom.ua/remote/dispatcher/state_purchase_view/33959843", "UA-2022-01-06-001452-c")</f>
        <v/>
      </c>
      <c r="C319" t="s" s="2">
        <v>2890</v>
      </c>
      <c r="D319" s="2">
        <f>HYPERLINK("https://my.zakupki.prom.ua/remote/dispatcher/state_contracting_view/12348080", "UA-2022-01-06-001452-c-c1")</f>
        <v/>
      </c>
      <c r="E319" t="s" s="1">
        <v>1721</v>
      </c>
      <c r="F319" t="s" s="1">
        <v>2258</v>
      </c>
      <c r="G319" t="s" s="1">
        <v>2258</v>
      </c>
      <c r="H319" t="s" s="1">
        <v>406</v>
      </c>
      <c r="I319" t="s" s="1">
        <v>2017</v>
      </c>
      <c r="J319" t="s" s="1">
        <v>1878</v>
      </c>
      <c r="K319" t="s" s="1">
        <v>45</v>
      </c>
      <c r="L319" t="s" s="1">
        <v>233</v>
      </c>
      <c r="M319" t="n" s="5">
        <v>1500000.0</v>
      </c>
      <c r="N319" t="n" s="7">
        <v>44566.0</v>
      </c>
      <c r="O319" t="n" s="7">
        <v>44926.0</v>
      </c>
      <c r="P319" t="s" s="1">
        <v>3259</v>
      </c>
    </row>
    <row r="320" spans="1:16">
      <c r="A320" t="n" s="4">
        <v>316</v>
      </c>
      <c r="B320" s="2">
        <f>HYPERLINK("https://my.zakupki.prom.ua/remote/dispatcher/state_purchase_view/34532352", "UA-2022-01-27-007588-b")</f>
        <v/>
      </c>
      <c r="C320" t="s" s="2">
        <v>2890</v>
      </c>
      <c r="D320" s="2">
        <f>HYPERLINK("https://my.zakupki.prom.ua/remote/dispatcher/state_contracting_view/12604131", "UA-2022-01-27-007588-b-b1")</f>
        <v/>
      </c>
      <c r="E320" t="s" s="1">
        <v>1734</v>
      </c>
      <c r="F320" t="s" s="1">
        <v>2486</v>
      </c>
      <c r="G320" t="s" s="1">
        <v>3261</v>
      </c>
      <c r="H320" t="s" s="1">
        <v>651</v>
      </c>
      <c r="I320" t="s" s="1">
        <v>2017</v>
      </c>
      <c r="J320" t="s" s="1">
        <v>3142</v>
      </c>
      <c r="K320" t="s" s="1">
        <v>851</v>
      </c>
      <c r="L320" t="s" s="1">
        <v>2830</v>
      </c>
      <c r="M320" t="n" s="5">
        <v>19944.0</v>
      </c>
      <c r="N320" t="n" s="7">
        <v>44588.0</v>
      </c>
      <c r="O320" t="n" s="7">
        <v>44926.0</v>
      </c>
      <c r="P320" t="s" s="1">
        <v>3259</v>
      </c>
    </row>
    <row r="321" spans="1:16">
      <c r="A321" t="n" s="4">
        <v>317</v>
      </c>
      <c r="B321" s="2">
        <f>HYPERLINK("https://my.zakupki.prom.ua/remote/dispatcher/state_purchase_view/35803053", "UA-2022-03-31-002514-b")</f>
        <v/>
      </c>
      <c r="C321" t="s" s="2">
        <v>2890</v>
      </c>
      <c r="D321" s="2">
        <f>HYPERLINK("https://my.zakupki.prom.ua/remote/dispatcher/state_contracting_view/13205171", "UA-2022-03-31-002514-b-b1")</f>
        <v/>
      </c>
      <c r="E321" t="s" s="1">
        <v>1436</v>
      </c>
      <c r="F321" t="s" s="1">
        <v>2107</v>
      </c>
      <c r="G321" t="s" s="1">
        <v>2107</v>
      </c>
      <c r="H321" t="s" s="1">
        <v>654</v>
      </c>
      <c r="I321" t="s" s="1">
        <v>2017</v>
      </c>
      <c r="J321" t="s" s="1">
        <v>3237</v>
      </c>
      <c r="K321" t="s" s="1">
        <v>687</v>
      </c>
      <c r="L321" t="s" s="1">
        <v>305</v>
      </c>
      <c r="M321" t="n" s="5">
        <v>3629.6</v>
      </c>
      <c r="N321" t="n" s="7">
        <v>44651.0</v>
      </c>
      <c r="O321" t="n" s="7">
        <v>44926.0</v>
      </c>
      <c r="P321" t="s" s="1">
        <v>3259</v>
      </c>
    </row>
    <row r="322" spans="1:16">
      <c r="A322" t="n" s="4">
        <v>318</v>
      </c>
      <c r="B322" s="2">
        <f>HYPERLINK("https://my.zakupki.prom.ua/remote/dispatcher/state_purchase_view/35803113", "UA-2022-03-31-002555-b")</f>
        <v/>
      </c>
      <c r="C322" t="s" s="2">
        <v>2890</v>
      </c>
      <c r="D322" s="2">
        <f>HYPERLINK("https://my.zakupki.prom.ua/remote/dispatcher/state_contracting_view/13205269", "UA-2022-03-31-002555-b-b1")</f>
        <v/>
      </c>
      <c r="E322" t="s" s="1">
        <v>1536</v>
      </c>
      <c r="F322" t="s" s="1">
        <v>2109</v>
      </c>
      <c r="G322" t="s" s="1">
        <v>2109</v>
      </c>
      <c r="H322" t="s" s="1">
        <v>658</v>
      </c>
      <c r="I322" t="s" s="1">
        <v>2017</v>
      </c>
      <c r="J322" t="s" s="1">
        <v>3237</v>
      </c>
      <c r="K322" t="s" s="1">
        <v>687</v>
      </c>
      <c r="L322" t="s" s="1">
        <v>307</v>
      </c>
      <c r="M322" t="n" s="5">
        <v>10572.0</v>
      </c>
      <c r="N322" t="n" s="7">
        <v>44651.0</v>
      </c>
      <c r="O322" t="n" s="7">
        <v>44926.0</v>
      </c>
      <c r="P322" t="s" s="1">
        <v>3259</v>
      </c>
    </row>
    <row r="323" spans="1:16">
      <c r="A323" t="n" s="4">
        <v>319</v>
      </c>
      <c r="B323" s="2">
        <f>HYPERLINK("https://my.zakupki.prom.ua/remote/dispatcher/state_purchase_view/35790800", "UA-2022-03-30-002417-b")</f>
        <v/>
      </c>
      <c r="C323" t="s" s="2">
        <v>2890</v>
      </c>
      <c r="D323" s="2">
        <f>HYPERLINK("https://my.zakupki.prom.ua/remote/dispatcher/state_contracting_view/13201222", "UA-2022-03-30-002417-b-b1")</f>
        <v/>
      </c>
      <c r="E323" t="s" s="1">
        <v>1833</v>
      </c>
      <c r="F323" t="s" s="1">
        <v>2086</v>
      </c>
      <c r="G323" t="s" s="1">
        <v>2086</v>
      </c>
      <c r="H323" t="s" s="1">
        <v>258</v>
      </c>
      <c r="I323" t="s" s="1">
        <v>2017</v>
      </c>
      <c r="J323" t="s" s="1">
        <v>1927</v>
      </c>
      <c r="K323" t="s" s="1">
        <v>320</v>
      </c>
      <c r="L323" t="s" s="1">
        <v>269</v>
      </c>
      <c r="M323" t="n" s="5">
        <v>408.0</v>
      </c>
      <c r="N323" t="n" s="7">
        <v>44651.0</v>
      </c>
      <c r="O323" t="n" s="7">
        <v>44926.0</v>
      </c>
      <c r="P323" t="s" s="1">
        <v>3259</v>
      </c>
    </row>
    <row r="324" spans="1:16">
      <c r="A324" t="n" s="4">
        <v>320</v>
      </c>
      <c r="B324" s="2">
        <f>HYPERLINK("https://my.zakupki.prom.ua/remote/dispatcher/state_purchase_view/35556579", "UA-2022-03-02-002957-a")</f>
        <v/>
      </c>
      <c r="C324" t="s" s="2">
        <v>2890</v>
      </c>
      <c r="D324" s="2">
        <f>HYPERLINK("https://my.zakupki.prom.ua/remote/dispatcher/state_contracting_view/13073388", "UA-2022-03-02-002957-a-a1")</f>
        <v/>
      </c>
      <c r="E324" t="s" s="1">
        <v>1707</v>
      </c>
      <c r="F324" t="s" s="1">
        <v>2345</v>
      </c>
      <c r="G324" t="s" s="1">
        <v>3245</v>
      </c>
      <c r="H324" t="s" s="1">
        <v>638</v>
      </c>
      <c r="I324" t="s" s="1">
        <v>2017</v>
      </c>
      <c r="J324" t="s" s="1">
        <v>3125</v>
      </c>
      <c r="K324" t="s" s="1">
        <v>690</v>
      </c>
      <c r="L324" t="s" s="1">
        <v>141</v>
      </c>
      <c r="M324" t="n" s="5">
        <v>7133.26</v>
      </c>
      <c r="N324" t="n" s="7">
        <v>44622.0</v>
      </c>
      <c r="O324" t="n" s="7">
        <v>44926.0</v>
      </c>
      <c r="P324" t="s" s="1">
        <v>3259</v>
      </c>
    </row>
    <row r="325" spans="1:16">
      <c r="A325" t="n" s="4">
        <v>321</v>
      </c>
      <c r="B325" s="2">
        <f>HYPERLINK("https://my.zakupki.prom.ua/remote/dispatcher/state_purchase_view/35267952", "UA-2022-02-17-003126-b")</f>
        <v/>
      </c>
      <c r="C325" t="s" s="2">
        <v>2890</v>
      </c>
      <c r="D325" s="2">
        <f>HYPERLINK("https://my.zakupki.prom.ua/remote/dispatcher/state_contracting_view/12941721", "UA-2022-02-17-003126-b-b1")</f>
        <v/>
      </c>
      <c r="E325" t="s" s="1">
        <v>1783</v>
      </c>
      <c r="F325" t="s" s="1">
        <v>2508</v>
      </c>
      <c r="G325" t="s" s="1">
        <v>1940</v>
      </c>
      <c r="H325" t="s" s="1">
        <v>683</v>
      </c>
      <c r="I325" t="s" s="1">
        <v>2017</v>
      </c>
      <c r="J325" t="s" s="1">
        <v>3069</v>
      </c>
      <c r="K325" t="s" s="1">
        <v>851</v>
      </c>
      <c r="L325" t="s" s="1">
        <v>2833</v>
      </c>
      <c r="M325" t="n" s="5">
        <v>18408.0</v>
      </c>
      <c r="N325" t="n" s="7">
        <v>44609.0</v>
      </c>
      <c r="O325" t="n" s="7">
        <v>44926.0</v>
      </c>
      <c r="P325" t="s" s="1">
        <v>3259</v>
      </c>
    </row>
    <row r="326" spans="1:16">
      <c r="A326" t="n" s="4">
        <v>322</v>
      </c>
      <c r="B326" s="2">
        <f>HYPERLINK("https://my.zakupki.prom.ua/remote/dispatcher/state_purchase_view/36626958", "UA-2022-07-11-002442-a")</f>
        <v/>
      </c>
      <c r="C326" t="s" s="2">
        <v>2890</v>
      </c>
      <c r="D326" s="2">
        <f>HYPERLINK("https://my.zakupki.prom.ua/remote/dispatcher/state_contracting_view/13624387", "UA-2022-07-11-002442-a-b1")</f>
        <v/>
      </c>
      <c r="E326" t="s" s="1">
        <v>1091</v>
      </c>
      <c r="F326" t="s" s="1">
        <v>2339</v>
      </c>
      <c r="G326" t="s" s="1">
        <v>2339</v>
      </c>
      <c r="H326" t="s" s="1">
        <v>638</v>
      </c>
      <c r="I326" t="s" s="1">
        <v>2017</v>
      </c>
      <c r="J326" t="s" s="1">
        <v>3114</v>
      </c>
      <c r="K326" t="s" s="1">
        <v>873</v>
      </c>
      <c r="L326" t="s" s="1">
        <v>728</v>
      </c>
      <c r="M326" t="n" s="5">
        <v>1710.0</v>
      </c>
      <c r="N326" t="n" s="7">
        <v>44753.0</v>
      </c>
      <c r="O326" t="n" s="7">
        <v>44926.0</v>
      </c>
      <c r="P326" t="s" s="1">
        <v>3259</v>
      </c>
    </row>
    <row r="327" spans="1:16">
      <c r="A327" t="n" s="4">
        <v>323</v>
      </c>
      <c r="B327" s="2">
        <f>HYPERLINK("https://my.zakupki.prom.ua/remote/dispatcher/state_purchase_view/36709045", "UA-2022-07-18-003467-a")</f>
        <v/>
      </c>
      <c r="C327" t="s" s="2">
        <v>2890</v>
      </c>
      <c r="D327" s="2">
        <f>HYPERLINK("https://my.zakupki.prom.ua/remote/dispatcher/state_contracting_view/13662468", "UA-2022-07-18-003467-a-b1")</f>
        <v/>
      </c>
      <c r="E327" t="s" s="1">
        <v>1832</v>
      </c>
      <c r="F327" t="s" s="1">
        <v>2573</v>
      </c>
      <c r="G327" t="s" s="1">
        <v>1543</v>
      </c>
      <c r="H327" t="s" s="1">
        <v>902</v>
      </c>
      <c r="I327" t="s" s="1">
        <v>2017</v>
      </c>
      <c r="J327" t="s" s="1">
        <v>2904</v>
      </c>
      <c r="K327" t="s" s="1">
        <v>688</v>
      </c>
      <c r="L327" t="s" s="1">
        <v>759</v>
      </c>
      <c r="M327" t="n" s="5">
        <v>4933.5</v>
      </c>
      <c r="N327" t="n" s="7">
        <v>44760.0</v>
      </c>
      <c r="O327" t="n" s="7">
        <v>44926.0</v>
      </c>
      <c r="P327" t="s" s="1">
        <v>3259</v>
      </c>
    </row>
    <row r="328" spans="1:16">
      <c r="A328" t="n" s="4">
        <v>324</v>
      </c>
      <c r="B328" s="2">
        <f>HYPERLINK("https://my.zakupki.prom.ua/remote/dispatcher/state_purchase_view/36752572", "UA-2022-07-21-000192-a")</f>
        <v/>
      </c>
      <c r="C328" t="s" s="2">
        <v>2890</v>
      </c>
      <c r="D328" s="2">
        <f>HYPERLINK("https://my.zakupki.prom.ua/remote/dispatcher/state_contracting_view/13682748", "UA-2022-07-21-000192-a-b1")</f>
        <v/>
      </c>
      <c r="E328" t="s" s="1">
        <v>1739</v>
      </c>
      <c r="F328" t="s" s="1">
        <v>2554</v>
      </c>
      <c r="G328" t="s" s="1">
        <v>1962</v>
      </c>
      <c r="H328" t="s" s="1">
        <v>866</v>
      </c>
      <c r="I328" t="s" s="1">
        <v>2017</v>
      </c>
      <c r="J328" t="s" s="1">
        <v>2904</v>
      </c>
      <c r="K328" t="s" s="1">
        <v>688</v>
      </c>
      <c r="L328" t="s" s="1">
        <v>864</v>
      </c>
      <c r="M328" t="n" s="5">
        <v>117.0</v>
      </c>
      <c r="N328" t="n" s="7">
        <v>44762.0</v>
      </c>
      <c r="O328" t="n" s="7">
        <v>44926.0</v>
      </c>
      <c r="P328" t="s" s="1">
        <v>3259</v>
      </c>
    </row>
    <row r="329" spans="1:16">
      <c r="A329" t="n" s="4">
        <v>325</v>
      </c>
      <c r="B329" s="2">
        <f>HYPERLINK("https://my.zakupki.prom.ua/remote/dispatcher/state_purchase_view/36753233", "UA-2022-07-21-000542-a")</f>
        <v/>
      </c>
      <c r="C329" t="s" s="2">
        <v>2890</v>
      </c>
      <c r="D329" s="2">
        <f>HYPERLINK("https://my.zakupki.prom.ua/remote/dispatcher/state_contracting_view/13683027", "UA-2022-07-21-000542-a-b1")</f>
        <v/>
      </c>
      <c r="E329" t="s" s="1">
        <v>280</v>
      </c>
      <c r="F329" t="s" s="1">
        <v>2311</v>
      </c>
      <c r="G329" t="s" s="1">
        <v>1870</v>
      </c>
      <c r="H329" t="s" s="1">
        <v>590</v>
      </c>
      <c r="I329" t="s" s="1">
        <v>2017</v>
      </c>
      <c r="J329" t="s" s="1">
        <v>2904</v>
      </c>
      <c r="K329" t="s" s="1">
        <v>688</v>
      </c>
      <c r="L329" t="s" s="1">
        <v>871</v>
      </c>
      <c r="M329" t="n" s="5">
        <v>156.25</v>
      </c>
      <c r="N329" t="n" s="7">
        <v>44762.0</v>
      </c>
      <c r="O329" t="n" s="7">
        <v>44926.0</v>
      </c>
      <c r="P329" t="s" s="1">
        <v>3259</v>
      </c>
    </row>
    <row r="330" spans="1:16">
      <c r="A330" t="n" s="4">
        <v>326</v>
      </c>
      <c r="B330" s="2">
        <f>HYPERLINK("https://my.zakupki.prom.ua/remote/dispatcher/state_purchase_view/38561174", "UA-2022-11-15-001150-a")</f>
        <v/>
      </c>
      <c r="C330" t="s" s="2">
        <v>2890</v>
      </c>
      <c r="D330" s="2">
        <f>HYPERLINK("https://my.zakupki.prom.ua/remote/dispatcher/state_contracting_view/14558693", "UA-2022-11-15-001150-a-b1")</f>
        <v/>
      </c>
      <c r="E330" t="s" s="1">
        <v>1390</v>
      </c>
      <c r="F330" t="s" s="1">
        <v>2140</v>
      </c>
      <c r="G330" t="s" s="1">
        <v>3171</v>
      </c>
      <c r="H330" t="s" s="1">
        <v>638</v>
      </c>
      <c r="I330" t="s" s="1">
        <v>2017</v>
      </c>
      <c r="J330" t="s" s="1">
        <v>3125</v>
      </c>
      <c r="K330" t="s" s="1">
        <v>690</v>
      </c>
      <c r="L330" t="s" s="1">
        <v>1220</v>
      </c>
      <c r="M330" t="n" s="5">
        <v>1935.0</v>
      </c>
      <c r="N330" t="n" s="7">
        <v>44879.0</v>
      </c>
      <c r="O330" t="n" s="7">
        <v>44926.0</v>
      </c>
      <c r="P330" t="s" s="1">
        <v>3259</v>
      </c>
    </row>
    <row r="331" spans="1:16">
      <c r="A331" t="n" s="4">
        <v>327</v>
      </c>
      <c r="B331" s="2">
        <f>HYPERLINK("https://my.zakupki.prom.ua/remote/dispatcher/state_purchase_view/38679609", "UA-2022-11-21-000685-a")</f>
        <v/>
      </c>
      <c r="C331" t="s" s="2">
        <v>2890</v>
      </c>
      <c r="D331" s="2">
        <f>HYPERLINK("https://my.zakupki.prom.ua/remote/dispatcher/state_contracting_view/14613882", "UA-2022-11-21-000685-a-c1")</f>
        <v/>
      </c>
      <c r="E331" t="s" s="1">
        <v>1715</v>
      </c>
      <c r="F331" t="s" s="1">
        <v>2640</v>
      </c>
      <c r="G331" t="s" s="1">
        <v>2640</v>
      </c>
      <c r="H331" t="s" s="1">
        <v>939</v>
      </c>
      <c r="I331" t="s" s="1">
        <v>2017</v>
      </c>
      <c r="J331" t="s" s="1">
        <v>2917</v>
      </c>
      <c r="K331" t="s" s="1">
        <v>855</v>
      </c>
      <c r="L331" t="s" s="1">
        <v>1238</v>
      </c>
      <c r="M331" t="n" s="5">
        <v>99853.0</v>
      </c>
      <c r="N331" t="n" s="7">
        <v>44886.0</v>
      </c>
      <c r="O331" t="n" s="7">
        <v>44926.0</v>
      </c>
      <c r="P331" t="s" s="1">
        <v>3259</v>
      </c>
    </row>
    <row r="332" spans="1:16">
      <c r="A332" t="n" s="4">
        <v>328</v>
      </c>
      <c r="B332" s="2">
        <f>HYPERLINK("https://my.zakupki.prom.ua/remote/dispatcher/state_purchase_view/38760013", "UA-2022-11-23-005959-a")</f>
        <v/>
      </c>
      <c r="C332" t="s" s="2">
        <v>2890</v>
      </c>
      <c r="D332" s="2">
        <f>HYPERLINK("https://my.zakupki.prom.ua/remote/dispatcher/state_contracting_view/14650976", "UA-2022-11-23-005959-a-c1")</f>
        <v/>
      </c>
      <c r="E332" t="s" s="1">
        <v>1637</v>
      </c>
      <c r="F332" t="s" s="1">
        <v>2241</v>
      </c>
      <c r="G332" t="s" s="1">
        <v>2241</v>
      </c>
      <c r="H332" t="s" s="1">
        <v>371</v>
      </c>
      <c r="I332" t="s" s="1">
        <v>2017</v>
      </c>
      <c r="J332" t="s" s="1">
        <v>1951</v>
      </c>
      <c r="K332" t="s" s="1">
        <v>560</v>
      </c>
      <c r="L332" t="s" s="1">
        <v>1247</v>
      </c>
      <c r="M332" t="n" s="5">
        <v>3820.0</v>
      </c>
      <c r="N332" t="n" s="7">
        <v>44888.0</v>
      </c>
      <c r="O332" t="n" s="7">
        <v>44926.0</v>
      </c>
      <c r="P332" t="s" s="1">
        <v>3259</v>
      </c>
    </row>
    <row r="333" spans="1:16">
      <c r="A333" t="n" s="4">
        <v>329</v>
      </c>
      <c r="B333" s="2">
        <f>HYPERLINK("https://my.zakupki.prom.ua/remote/dispatcher/state_purchase_view/38089077", "UA-2022-10-21-000305-a")</f>
        <v/>
      </c>
      <c r="C333" t="s" s="2">
        <v>2890</v>
      </c>
      <c r="D333" s="2">
        <f>HYPERLINK("https://my.zakupki.prom.ua/remote/dispatcher/state_contracting_view/14332123", "UA-2022-10-21-000305-a-b1")</f>
        <v/>
      </c>
      <c r="E333" t="s" s="1">
        <v>1101</v>
      </c>
      <c r="F333" t="s" s="1">
        <v>2524</v>
      </c>
      <c r="G333" t="s" s="1">
        <v>2524</v>
      </c>
      <c r="H333" t="s" s="1">
        <v>772</v>
      </c>
      <c r="I333" t="s" s="1">
        <v>2017</v>
      </c>
      <c r="J333" t="s" s="1">
        <v>1906</v>
      </c>
      <c r="K333" t="s" s="1">
        <v>491</v>
      </c>
      <c r="L333" t="s" s="1">
        <v>1159</v>
      </c>
      <c r="M333" t="n" s="5">
        <v>38400.0</v>
      </c>
      <c r="N333" t="n" s="7">
        <v>44854.0</v>
      </c>
      <c r="O333" t="n" s="7">
        <v>44926.0</v>
      </c>
      <c r="P333" t="s" s="1">
        <v>3259</v>
      </c>
    </row>
    <row r="334" spans="1:16">
      <c r="A334" t="n" s="4">
        <v>330</v>
      </c>
      <c r="B334" s="2">
        <f>HYPERLINK("https://my.zakupki.prom.ua/remote/dispatcher/state_purchase_view/39579100", "UA-2022-12-21-005915-a")</f>
        <v/>
      </c>
      <c r="C334" t="s" s="2">
        <v>2890</v>
      </c>
      <c r="D334" s="2">
        <f>HYPERLINK("https://my.zakupki.prom.ua/remote/dispatcher/state_contracting_view/15032096", "UA-2022-12-21-005915-a-b1")</f>
        <v/>
      </c>
      <c r="E334" t="s" s="1">
        <v>1587</v>
      </c>
      <c r="F334" t="s" s="1">
        <v>2705</v>
      </c>
      <c r="G334" t="s" s="1">
        <v>1929</v>
      </c>
      <c r="H334" t="s" s="1">
        <v>1314</v>
      </c>
      <c r="I334" t="s" s="1">
        <v>2017</v>
      </c>
      <c r="J334" t="s" s="1">
        <v>3105</v>
      </c>
      <c r="K334" t="s" s="1">
        <v>675</v>
      </c>
      <c r="L334" t="s" s="1">
        <v>1901</v>
      </c>
      <c r="M334" t="n" s="5">
        <v>21000.0</v>
      </c>
      <c r="N334" t="n" s="7">
        <v>44915.0</v>
      </c>
      <c r="O334" t="n" s="7">
        <v>44926.0</v>
      </c>
      <c r="P334" t="s" s="1">
        <v>3259</v>
      </c>
    </row>
    <row r="335" spans="1:16">
      <c r="A335" t="n" s="4">
        <v>331</v>
      </c>
      <c r="B335" s="2">
        <f>HYPERLINK("https://my.zakupki.prom.ua/remote/dispatcher/state_purchase_view/39183840", "UA-2022-12-09-004027-a")</f>
        <v/>
      </c>
      <c r="C335" t="s" s="2">
        <v>2890</v>
      </c>
      <c r="D335" s="2">
        <f>HYPERLINK("https://my.zakupki.prom.ua/remote/dispatcher/state_contracting_view/14844642", "UA-2022-12-09-004027-a-b1")</f>
        <v/>
      </c>
      <c r="E335" t="s" s="1">
        <v>1530</v>
      </c>
      <c r="F335" t="s" s="1">
        <v>2249</v>
      </c>
      <c r="G335" t="s" s="1">
        <v>2014</v>
      </c>
      <c r="H335" t="s" s="1">
        <v>377</v>
      </c>
      <c r="I335" t="s" s="1">
        <v>2017</v>
      </c>
      <c r="J335" t="s" s="1">
        <v>1951</v>
      </c>
      <c r="K335" t="s" s="1">
        <v>560</v>
      </c>
      <c r="L335" t="s" s="1">
        <v>1308</v>
      </c>
      <c r="M335" t="n" s="5">
        <v>6235.03</v>
      </c>
      <c r="N335" t="n" s="7">
        <v>44904.0</v>
      </c>
      <c r="O335" t="n" s="7">
        <v>44926.0</v>
      </c>
      <c r="P335" t="s" s="1">
        <v>3259</v>
      </c>
    </row>
    <row r="336" spans="1:16">
      <c r="A336" t="n" s="4">
        <v>332</v>
      </c>
      <c r="B336" s="2">
        <f>HYPERLINK("https://my.zakupki.prom.ua/remote/dispatcher/state_purchase_view/39699355", "UA-2022-12-23-016332-a")</f>
        <v/>
      </c>
      <c r="C336" t="s" s="2">
        <v>2890</v>
      </c>
      <c r="D336" s="2">
        <f>HYPERLINK("https://my.zakupki.prom.ua/remote/dispatcher/state_contracting_view/15090415", "UA-2022-12-23-016332-a-b1")</f>
        <v/>
      </c>
      <c r="E336" t="s" s="1">
        <v>1190</v>
      </c>
      <c r="F336" t="s" s="1">
        <v>2208</v>
      </c>
      <c r="G336" t="s" s="1">
        <v>2935</v>
      </c>
      <c r="H336" t="s" s="1">
        <v>195</v>
      </c>
      <c r="I336" t="s" s="1">
        <v>2017</v>
      </c>
      <c r="J336" t="s" s="1">
        <v>3237</v>
      </c>
      <c r="K336" t="s" s="1">
        <v>687</v>
      </c>
      <c r="L336" t="s" s="1">
        <v>1344</v>
      </c>
      <c r="M336" t="n" s="5">
        <v>1915.0</v>
      </c>
      <c r="N336" t="n" s="7">
        <v>44918.0</v>
      </c>
      <c r="O336" t="n" s="7">
        <v>44926.0</v>
      </c>
      <c r="P336" t="s" s="1">
        <v>3259</v>
      </c>
    </row>
    <row r="337" spans="1:16">
      <c r="A337" t="n" s="4">
        <v>333</v>
      </c>
      <c r="B337" s="2">
        <f>HYPERLINK("https://my.zakupki.prom.ua/remote/dispatcher/state_purchase_view/39776634", "UA-2022-12-27-005504-a")</f>
        <v/>
      </c>
      <c r="C337" t="s" s="2">
        <v>2890</v>
      </c>
      <c r="D337" s="2">
        <f>HYPERLINK("https://my.zakupki.prom.ua/remote/dispatcher/state_contracting_view/15127842", "UA-2022-12-27-005504-a-c1")</f>
        <v/>
      </c>
      <c r="E337" t="s" s="1">
        <v>419</v>
      </c>
      <c r="F337" t="s" s="1">
        <v>2568</v>
      </c>
      <c r="G337" t="s" s="1">
        <v>2819</v>
      </c>
      <c r="H337" t="s" s="1">
        <v>901</v>
      </c>
      <c r="I337" t="s" s="1">
        <v>2017</v>
      </c>
      <c r="J337" t="s" s="1">
        <v>2904</v>
      </c>
      <c r="K337" t="s" s="1">
        <v>688</v>
      </c>
      <c r="L337" t="s" s="1">
        <v>1369</v>
      </c>
      <c r="M337" t="n" s="5">
        <v>979.2</v>
      </c>
      <c r="N337" t="n" s="7">
        <v>44922.0</v>
      </c>
      <c r="O337" t="n" s="7">
        <v>44926.0</v>
      </c>
      <c r="P337" t="s" s="1">
        <v>3259</v>
      </c>
    </row>
    <row r="338" spans="1:16">
      <c r="A338" t="n" s="4">
        <v>334</v>
      </c>
      <c r="B338" s="2">
        <f>HYPERLINK("https://my.zakupki.prom.ua/remote/dispatcher/state_purchase_view/33695913", "UA-2021-12-24-006222-c")</f>
        <v/>
      </c>
      <c r="C338" t="s" s="2">
        <v>2890</v>
      </c>
      <c r="D338" s="2">
        <f>HYPERLINK("https://my.zakupki.prom.ua/remote/dispatcher/state_contracting_view/12500863", "UA-2021-12-24-006222-c-a1")</f>
        <v/>
      </c>
      <c r="E338" t="s" s="1">
        <v>1501</v>
      </c>
      <c r="F338" t="s" s="1">
        <v>2794</v>
      </c>
      <c r="G338" t="s" s="1">
        <v>2794</v>
      </c>
      <c r="H338" t="s" s="1">
        <v>641</v>
      </c>
      <c r="I338" t="s" s="1">
        <v>1933</v>
      </c>
      <c r="J338" t="s" s="1">
        <v>3086</v>
      </c>
      <c r="K338" t="s" s="1">
        <v>758</v>
      </c>
      <c r="L338" t="s" s="1">
        <v>471</v>
      </c>
      <c r="M338" t="n" s="5">
        <v>1626400.0</v>
      </c>
      <c r="N338" t="n" s="7">
        <v>44585.0</v>
      </c>
      <c r="O338" t="n" s="7">
        <v>44926.0</v>
      </c>
      <c r="P338" t="s" s="1">
        <v>3259</v>
      </c>
    </row>
    <row r="339" spans="1:16">
      <c r="A339" t="n" s="4">
        <v>335</v>
      </c>
      <c r="B339" s="2">
        <f>HYPERLINK("https://my.zakupki.prom.ua/remote/dispatcher/state_purchase_view/35839332", "UA-2022-04-05-003217-b")</f>
        <v/>
      </c>
      <c r="C339" t="s" s="2">
        <v>2890</v>
      </c>
      <c r="D339" s="2">
        <f>HYPERLINK("https://my.zakupki.prom.ua/remote/dispatcher/state_contracting_view/13224334", "UA-2022-04-05-003217-b-b1")</f>
        <v/>
      </c>
      <c r="E339" t="s" s="1">
        <v>1851</v>
      </c>
      <c r="F339" t="s" s="1">
        <v>2444</v>
      </c>
      <c r="G339" t="s" s="1">
        <v>3281</v>
      </c>
      <c r="H339" t="s" s="1">
        <v>650</v>
      </c>
      <c r="I339" t="s" s="1">
        <v>2017</v>
      </c>
      <c r="J339" t="s" s="1">
        <v>3113</v>
      </c>
      <c r="K339" t="s" s="1">
        <v>398</v>
      </c>
      <c r="L339" t="s" s="1">
        <v>323</v>
      </c>
      <c r="M339" t="n" s="5">
        <v>44701.47</v>
      </c>
      <c r="N339" t="n" s="7">
        <v>44656.0</v>
      </c>
      <c r="O339" t="n" s="7">
        <v>44926.0</v>
      </c>
      <c r="P339" t="s" s="1">
        <v>3259</v>
      </c>
    </row>
    <row r="340" spans="1:16">
      <c r="A340" t="n" s="4">
        <v>336</v>
      </c>
      <c r="B340" s="2">
        <f>HYPERLINK("https://my.zakupki.prom.ua/remote/dispatcher/state_purchase_view/35843246", "UA-2022-04-06-000523-b")</f>
        <v/>
      </c>
      <c r="C340" t="s" s="2">
        <v>2890</v>
      </c>
      <c r="D340" s="2">
        <f>HYPERLINK("https://my.zakupki.prom.ua/remote/dispatcher/state_contracting_view/13226173", "UA-2022-04-06-000523-b-b1")</f>
        <v/>
      </c>
      <c r="E340" t="s" s="1">
        <v>61</v>
      </c>
      <c r="F340" t="s" s="1">
        <v>2239</v>
      </c>
      <c r="G340" t="s" s="1">
        <v>2239</v>
      </c>
      <c r="H340" t="s" s="1">
        <v>370</v>
      </c>
      <c r="I340" t="s" s="1">
        <v>2017</v>
      </c>
      <c r="J340" t="s" s="1">
        <v>3098</v>
      </c>
      <c r="K340" t="s" s="1">
        <v>652</v>
      </c>
      <c r="L340" t="s" s="1">
        <v>107</v>
      </c>
      <c r="M340" t="n" s="5">
        <v>700.0</v>
      </c>
      <c r="N340" t="n" s="7">
        <v>44656.0</v>
      </c>
      <c r="O340" t="n" s="7">
        <v>44926.0</v>
      </c>
      <c r="P340" t="s" s="1">
        <v>3259</v>
      </c>
    </row>
    <row r="341" spans="1:16">
      <c r="A341" t="n" s="4">
        <v>337</v>
      </c>
      <c r="B341" s="2">
        <f>HYPERLINK("https://my.zakupki.prom.ua/remote/dispatcher/state_purchase_view/34030612", "UA-2022-01-12-003904-a")</f>
        <v/>
      </c>
      <c r="C341" t="s" s="2">
        <v>2890</v>
      </c>
      <c r="D341" s="2">
        <f>HYPERLINK("https://my.zakupki.prom.ua/remote/dispatcher/state_contracting_view/12374056", "UA-2022-01-12-003904-a-a1")</f>
        <v/>
      </c>
      <c r="E341" t="s" s="1">
        <v>1701</v>
      </c>
      <c r="F341" t="s" s="1">
        <v>2122</v>
      </c>
      <c r="G341" t="s" s="1">
        <v>2968</v>
      </c>
      <c r="H341" t="s" s="1">
        <v>650</v>
      </c>
      <c r="I341" t="s" s="1">
        <v>2017</v>
      </c>
      <c r="J341" t="s" s="1">
        <v>3063</v>
      </c>
      <c r="K341" t="s" s="1">
        <v>398</v>
      </c>
      <c r="L341" t="s" s="1">
        <v>1482</v>
      </c>
      <c r="M341" t="n" s="5">
        <v>6989.48</v>
      </c>
      <c r="N341" t="n" s="7">
        <v>44572.0</v>
      </c>
      <c r="O341" t="n" s="7">
        <v>44926.0</v>
      </c>
      <c r="P341" t="s" s="1">
        <v>3259</v>
      </c>
    </row>
    <row r="342" spans="1:16">
      <c r="A342" t="n" s="4">
        <v>338</v>
      </c>
      <c r="B342" s="2">
        <f>HYPERLINK("https://my.zakupki.prom.ua/remote/dispatcher/state_purchase_view/34534858", "UA-2022-01-27-008382-b")</f>
        <v/>
      </c>
      <c r="C342" t="s" s="2">
        <v>2890</v>
      </c>
      <c r="D342" s="2">
        <f>HYPERLINK("https://my.zakupki.prom.ua/remote/dispatcher/state_contracting_view/12591151", "UA-2022-01-27-008382-b-b1")</f>
        <v/>
      </c>
      <c r="E342" t="s" s="1">
        <v>1127</v>
      </c>
      <c r="F342" t="s" s="1">
        <v>2160</v>
      </c>
      <c r="G342" t="s" s="1">
        <v>2160</v>
      </c>
      <c r="H342" t="s" s="1">
        <v>29</v>
      </c>
      <c r="I342" t="s" s="1">
        <v>2017</v>
      </c>
      <c r="J342" t="s" s="1">
        <v>3237</v>
      </c>
      <c r="K342" t="s" s="1">
        <v>687</v>
      </c>
      <c r="L342" t="s" s="1">
        <v>881</v>
      </c>
      <c r="M342" t="n" s="5">
        <v>17900.0</v>
      </c>
      <c r="N342" t="n" s="7">
        <v>44588.0</v>
      </c>
      <c r="O342" t="n" s="7">
        <v>44926.0</v>
      </c>
      <c r="P342" t="s" s="1">
        <v>3259</v>
      </c>
    </row>
    <row r="343" spans="1:16">
      <c r="A343" t="n" s="4">
        <v>339</v>
      </c>
      <c r="B343" s="2">
        <f>HYPERLINK("https://my.zakupki.prom.ua/remote/dispatcher/state_purchase_view/35298056", "UA-2022-02-17-013818-b")</f>
        <v/>
      </c>
      <c r="C343" t="s" s="2">
        <v>2890</v>
      </c>
      <c r="D343" s="2">
        <f>HYPERLINK("https://my.zakupki.prom.ua/remote/dispatcher/state_contracting_view/12946924", "UA-2022-02-17-013818-b-b1")</f>
        <v/>
      </c>
      <c r="E343" t="s" s="1">
        <v>1614</v>
      </c>
      <c r="F343" t="s" s="1">
        <v>2162</v>
      </c>
      <c r="G343" t="s" s="1">
        <v>2054</v>
      </c>
      <c r="H343" t="s" s="1">
        <v>29</v>
      </c>
      <c r="I343" t="s" s="1">
        <v>2017</v>
      </c>
      <c r="J343" t="s" s="1">
        <v>3237</v>
      </c>
      <c r="K343" t="s" s="1">
        <v>687</v>
      </c>
      <c r="L343" t="s" s="1">
        <v>15</v>
      </c>
      <c r="M343" t="n" s="5">
        <v>4580.0</v>
      </c>
      <c r="N343" t="n" s="7">
        <v>44609.0</v>
      </c>
      <c r="O343" t="n" s="7">
        <v>44926.0</v>
      </c>
      <c r="P343" t="s" s="1">
        <v>3259</v>
      </c>
    </row>
    <row r="344" spans="1:16">
      <c r="A344" t="n" s="4">
        <v>340</v>
      </c>
      <c r="B344" s="2">
        <f>HYPERLINK("https://my.zakupki.prom.ua/remote/dispatcher/state_purchase_view/34903463", "UA-2022-02-07-010541-b")</f>
        <v/>
      </c>
      <c r="C344" t="s" s="2">
        <v>2890</v>
      </c>
      <c r="D344" s="2">
        <f>HYPERLINK("https://my.zakupki.prom.ua/remote/dispatcher/state_contracting_view/12951878", "UA-2022-02-07-010541-b-b1")</f>
        <v/>
      </c>
      <c r="E344" t="s" s="1">
        <v>727</v>
      </c>
      <c r="F344" t="s" s="1">
        <v>2694</v>
      </c>
      <c r="G344" t="s" s="1">
        <v>2694</v>
      </c>
      <c r="H344" t="s" s="1">
        <v>1219</v>
      </c>
      <c r="I344" t="s" s="1">
        <v>2933</v>
      </c>
      <c r="J344" t="s" s="1">
        <v>2041</v>
      </c>
      <c r="K344" t="s" s="1">
        <v>30</v>
      </c>
      <c r="L344" t="s" s="1">
        <v>555</v>
      </c>
      <c r="M344" t="n" s="5">
        <v>302247.0</v>
      </c>
      <c r="N344" t="n" s="7">
        <v>44610.0</v>
      </c>
      <c r="O344" t="n" s="7">
        <v>44926.0</v>
      </c>
      <c r="P344" t="s" s="1">
        <v>3259</v>
      </c>
    </row>
    <row r="345" spans="1:16">
      <c r="A345" t="n" s="4">
        <v>341</v>
      </c>
      <c r="B345" s="2">
        <f>HYPERLINK("https://my.zakupki.prom.ua/remote/dispatcher/state_purchase_view/36429653", "UA-2022-06-20-006858-a")</f>
        <v/>
      </c>
      <c r="C345" t="s" s="2">
        <v>2890</v>
      </c>
      <c r="D345" s="2">
        <f>HYPERLINK("https://my.zakupki.prom.ua/remote/dispatcher/state_contracting_view/13527088", "UA-2022-06-20-006858-a-b1")</f>
        <v/>
      </c>
      <c r="E345" t="s" s="1">
        <v>1828</v>
      </c>
      <c r="F345" t="s" s="1">
        <v>2382</v>
      </c>
      <c r="G345" t="s" s="1">
        <v>2812</v>
      </c>
      <c r="H345" t="s" s="1">
        <v>642</v>
      </c>
      <c r="I345" t="s" s="1">
        <v>2017</v>
      </c>
      <c r="J345" t="s" s="1">
        <v>3136</v>
      </c>
      <c r="K345" t="s" s="1">
        <v>583</v>
      </c>
      <c r="L345" t="s" s="1">
        <v>674</v>
      </c>
      <c r="M345" t="n" s="5">
        <v>31800.0</v>
      </c>
      <c r="N345" t="n" s="7">
        <v>44732.0</v>
      </c>
      <c r="O345" t="n" s="7">
        <v>44926.0</v>
      </c>
      <c r="P345" t="s" s="1">
        <v>3259</v>
      </c>
    </row>
    <row r="346" spans="1:16">
      <c r="A346" t="n" s="4">
        <v>342</v>
      </c>
      <c r="B346" s="2">
        <f>HYPERLINK("https://my.zakupki.prom.ua/remote/dispatcher/state_purchase_view/36719998", "UA-2022-07-19-000738-a")</f>
        <v/>
      </c>
      <c r="C346" t="s" s="2">
        <v>2890</v>
      </c>
      <c r="D346" s="2">
        <f>HYPERLINK("https://my.zakupki.prom.ua/remote/dispatcher/state_contracting_view/13667552", "UA-2022-07-19-000738-a-b1")</f>
        <v/>
      </c>
      <c r="E346" t="s" s="1">
        <v>1389</v>
      </c>
      <c r="F346" t="s" s="1">
        <v>2305</v>
      </c>
      <c r="G346" t="s" s="1">
        <v>2846</v>
      </c>
      <c r="H346" t="s" s="1">
        <v>582</v>
      </c>
      <c r="I346" t="s" s="1">
        <v>2017</v>
      </c>
      <c r="J346" t="s" s="1">
        <v>1927</v>
      </c>
      <c r="K346" t="s" s="1">
        <v>320</v>
      </c>
      <c r="L346" t="s" s="1">
        <v>818</v>
      </c>
      <c r="M346" t="n" s="5">
        <v>700.0</v>
      </c>
      <c r="N346" t="n" s="7">
        <v>44760.0</v>
      </c>
      <c r="O346" t="n" s="7">
        <v>44926.0</v>
      </c>
      <c r="P346" t="s" s="1">
        <v>3259</v>
      </c>
    </row>
    <row r="347" spans="1:16">
      <c r="A347" t="n" s="4">
        <v>343</v>
      </c>
      <c r="B347" s="2">
        <f>HYPERLINK("https://my.zakupki.prom.ua/remote/dispatcher/state_purchase_view/36720604", "UA-2022-07-19-001070-a")</f>
        <v/>
      </c>
      <c r="C347" t="s" s="2">
        <v>2890</v>
      </c>
      <c r="D347" s="2">
        <f>HYPERLINK("https://my.zakupki.prom.ua/remote/dispatcher/state_contracting_view/13667786", "UA-2022-07-19-001070-a-b1")</f>
        <v/>
      </c>
      <c r="E347" t="s" s="1">
        <v>1446</v>
      </c>
      <c r="F347" t="s" s="1">
        <v>2285</v>
      </c>
      <c r="G347" t="s" s="1">
        <v>1997</v>
      </c>
      <c r="H347" t="s" s="1">
        <v>574</v>
      </c>
      <c r="I347" t="s" s="1">
        <v>2017</v>
      </c>
      <c r="J347" t="s" s="1">
        <v>1927</v>
      </c>
      <c r="K347" t="s" s="1">
        <v>320</v>
      </c>
      <c r="L347" t="s" s="1">
        <v>824</v>
      </c>
      <c r="M347" t="n" s="5">
        <v>425.0</v>
      </c>
      <c r="N347" t="n" s="7">
        <v>44760.0</v>
      </c>
      <c r="O347" t="n" s="7">
        <v>44926.0</v>
      </c>
      <c r="P347" t="s" s="1">
        <v>3259</v>
      </c>
    </row>
    <row r="348" spans="1:16">
      <c r="A348" t="n" s="4">
        <v>344</v>
      </c>
      <c r="B348" s="2">
        <f>HYPERLINK("https://my.zakupki.prom.ua/remote/dispatcher/state_purchase_view/36743395", "UA-2022-07-20-004064-a")</f>
        <v/>
      </c>
      <c r="C348" t="s" s="2">
        <v>2890</v>
      </c>
      <c r="D348" s="2">
        <f>HYPERLINK("https://my.zakupki.prom.ua/remote/dispatcher/state_contracting_view/13678480", "UA-2022-07-20-004064-a-b1")</f>
        <v/>
      </c>
      <c r="E348" t="s" s="1">
        <v>1135</v>
      </c>
      <c r="F348" t="s" s="1">
        <v>2545</v>
      </c>
      <c r="G348" t="s" s="1">
        <v>2000</v>
      </c>
      <c r="H348" t="s" s="1">
        <v>790</v>
      </c>
      <c r="I348" t="s" s="1">
        <v>2017</v>
      </c>
      <c r="J348" t="s" s="1">
        <v>2904</v>
      </c>
      <c r="K348" t="s" s="1">
        <v>688</v>
      </c>
      <c r="L348" t="s" s="1">
        <v>834</v>
      </c>
      <c r="M348" t="n" s="5">
        <v>1387.5</v>
      </c>
      <c r="N348" t="n" s="7">
        <v>44762.0</v>
      </c>
      <c r="O348" t="n" s="7">
        <v>44926.0</v>
      </c>
      <c r="P348" t="s" s="1">
        <v>3259</v>
      </c>
    </row>
    <row r="349" spans="1:16">
      <c r="A349" t="n" s="4">
        <v>345</v>
      </c>
      <c r="B349" s="2">
        <f>HYPERLINK("https://my.zakupki.prom.ua/remote/dispatcher/state_purchase_view/36743569", "UA-2022-07-20-004139-a")</f>
        <v/>
      </c>
      <c r="C349" t="s" s="2">
        <v>2890</v>
      </c>
      <c r="D349" s="2">
        <f>HYPERLINK("https://my.zakupki.prom.ua/remote/dispatcher/state_contracting_view/13678479", "UA-2022-07-20-004139-a-b1")</f>
        <v/>
      </c>
      <c r="E349" t="s" s="1">
        <v>1681</v>
      </c>
      <c r="F349" t="s" s="1">
        <v>2269</v>
      </c>
      <c r="G349" t="s" s="1">
        <v>3009</v>
      </c>
      <c r="H349" t="s" s="1">
        <v>416</v>
      </c>
      <c r="I349" t="s" s="1">
        <v>2017</v>
      </c>
      <c r="J349" t="s" s="1">
        <v>2904</v>
      </c>
      <c r="K349" t="s" s="1">
        <v>688</v>
      </c>
      <c r="L349" t="s" s="1">
        <v>835</v>
      </c>
      <c r="M349" t="n" s="5">
        <v>148.5</v>
      </c>
      <c r="N349" t="n" s="7">
        <v>44762.0</v>
      </c>
      <c r="O349" t="n" s="7">
        <v>44926.0</v>
      </c>
      <c r="P349" t="s" s="1">
        <v>3259</v>
      </c>
    </row>
    <row r="350" spans="1:16">
      <c r="A350" t="n" s="4">
        <v>346</v>
      </c>
      <c r="B350" s="2">
        <f>HYPERLINK("https://my.zakupki.prom.ua/remote/dispatcher/state_purchase_view/36743641", "UA-2022-07-20-004184-a")</f>
        <v/>
      </c>
      <c r="C350" t="s" s="2">
        <v>2890</v>
      </c>
      <c r="D350" s="2">
        <f>HYPERLINK("https://my.zakupki.prom.ua/remote/dispatcher/state_contracting_view/13678592", "UA-2022-07-20-004184-a-b1")</f>
        <v/>
      </c>
      <c r="E350" t="s" s="1">
        <v>1623</v>
      </c>
      <c r="F350" t="s" s="1">
        <v>2618</v>
      </c>
      <c r="G350" t="s" s="1">
        <v>1995</v>
      </c>
      <c r="H350" t="s" s="1">
        <v>922</v>
      </c>
      <c r="I350" t="s" s="1">
        <v>2017</v>
      </c>
      <c r="J350" t="s" s="1">
        <v>2904</v>
      </c>
      <c r="K350" t="s" s="1">
        <v>688</v>
      </c>
      <c r="L350" t="s" s="1">
        <v>837</v>
      </c>
      <c r="M350" t="n" s="5">
        <v>15.75</v>
      </c>
      <c r="N350" t="n" s="7">
        <v>44762.0</v>
      </c>
      <c r="O350" t="n" s="7">
        <v>44926.0</v>
      </c>
      <c r="P350" t="s" s="1">
        <v>3259</v>
      </c>
    </row>
    <row r="351" spans="1:16">
      <c r="A351" t="n" s="4">
        <v>347</v>
      </c>
      <c r="B351" s="2">
        <f>HYPERLINK("https://my.zakupki.prom.ua/remote/dispatcher/state_purchase_view/36745496", "UA-2022-07-20-005124-a")</f>
        <v/>
      </c>
      <c r="C351" t="s" s="2">
        <v>2890</v>
      </c>
      <c r="D351" s="2">
        <f>HYPERLINK("https://my.zakupki.prom.ua/remote/dispatcher/state_contracting_view/13679521", "UA-2022-07-20-005124-a-b1")</f>
        <v/>
      </c>
      <c r="E351" t="s" s="1">
        <v>1775</v>
      </c>
      <c r="F351" t="s" s="1">
        <v>2185</v>
      </c>
      <c r="G351" t="s" s="1">
        <v>2824</v>
      </c>
      <c r="H351" t="s" s="1">
        <v>166</v>
      </c>
      <c r="I351" t="s" s="1">
        <v>2017</v>
      </c>
      <c r="J351" t="s" s="1">
        <v>2904</v>
      </c>
      <c r="K351" t="s" s="1">
        <v>688</v>
      </c>
      <c r="L351" t="s" s="1">
        <v>848</v>
      </c>
      <c r="M351" t="n" s="5">
        <v>330.0</v>
      </c>
      <c r="N351" t="n" s="7">
        <v>44762.0</v>
      </c>
      <c r="O351" t="n" s="7">
        <v>44926.0</v>
      </c>
      <c r="P351" t="s" s="1">
        <v>3259</v>
      </c>
    </row>
    <row r="352" spans="1:16">
      <c r="A352" t="n" s="4">
        <v>348</v>
      </c>
      <c r="B352" s="2">
        <f>HYPERLINK("https://my.zakupki.prom.ua/remote/dispatcher/state_purchase_view/36707314", "UA-2022-07-18-002604-a")</f>
        <v/>
      </c>
      <c r="C352" t="s" s="2">
        <v>2890</v>
      </c>
      <c r="D352" s="2">
        <f>HYPERLINK("https://my.zakupki.prom.ua/remote/dispatcher/state_contracting_view/13661844", "UA-2022-07-18-002604-a-b1")</f>
        <v/>
      </c>
      <c r="E352" t="s" s="1">
        <v>1447</v>
      </c>
      <c r="F352" t="s" s="1">
        <v>2571</v>
      </c>
      <c r="G352" t="s" s="1">
        <v>2571</v>
      </c>
      <c r="H352" t="s" s="1">
        <v>902</v>
      </c>
      <c r="I352" t="s" s="1">
        <v>2017</v>
      </c>
      <c r="J352" t="s" s="1">
        <v>2904</v>
      </c>
      <c r="K352" t="s" s="1">
        <v>688</v>
      </c>
      <c r="L352" t="s" s="1">
        <v>765</v>
      </c>
      <c r="M352" t="n" s="5">
        <v>765.0</v>
      </c>
      <c r="N352" t="n" s="7">
        <v>44760.0</v>
      </c>
      <c r="O352" t="n" s="7">
        <v>44926.0</v>
      </c>
      <c r="P352" t="s" s="1">
        <v>3259</v>
      </c>
    </row>
    <row r="353" spans="1:16">
      <c r="A353" t="n" s="4">
        <v>349</v>
      </c>
      <c r="B353" s="2">
        <f>HYPERLINK("https://my.zakupki.prom.ua/remote/dispatcher/state_purchase_view/36992446", "UA-2022-08-09-008287-a")</f>
        <v/>
      </c>
      <c r="C353" t="s" s="2">
        <v>2890</v>
      </c>
      <c r="D353" s="2">
        <f>HYPERLINK("https://my.zakupki.prom.ua/remote/dispatcher/state_contracting_view/13795840", "UA-2022-08-09-008287-a-b1")</f>
        <v/>
      </c>
      <c r="E353" t="s" s="1">
        <v>725</v>
      </c>
      <c r="F353" t="s" s="1">
        <v>2808</v>
      </c>
      <c r="G353" t="s" s="1">
        <v>2808</v>
      </c>
      <c r="H353" t="s" s="1">
        <v>1330</v>
      </c>
      <c r="I353" t="s" s="1">
        <v>2017</v>
      </c>
      <c r="J353" t="s" s="1">
        <v>3119</v>
      </c>
      <c r="K353" t="s" s="1">
        <v>741</v>
      </c>
      <c r="L353" t="s" s="1">
        <v>2835</v>
      </c>
      <c r="M353" t="n" s="5">
        <v>3500.0</v>
      </c>
      <c r="N353" t="n" s="7">
        <v>44782.0</v>
      </c>
      <c r="O353" t="n" s="7">
        <v>44926.0</v>
      </c>
      <c r="P353" t="s" s="1">
        <v>3259</v>
      </c>
    </row>
    <row r="354" spans="1:16">
      <c r="A354" t="n" s="4">
        <v>350</v>
      </c>
      <c r="B354" s="2">
        <f>HYPERLINK("https://my.zakupki.prom.ua/remote/dispatcher/state_purchase_view/37456609", "UA-2022-09-12-003493-a")</f>
        <v/>
      </c>
      <c r="C354" t="s" s="2">
        <v>2890</v>
      </c>
      <c r="D354" s="2">
        <f>HYPERLINK("https://my.zakupki.prom.ua/remote/dispatcher/state_contracting_view/14021008", "UA-2022-09-12-003493-a-b1")</f>
        <v/>
      </c>
      <c r="E354" t="s" s="1">
        <v>1717</v>
      </c>
      <c r="F354" t="s" s="1">
        <v>2246</v>
      </c>
      <c r="G354" t="s" s="1">
        <v>2246</v>
      </c>
      <c r="H354" t="s" s="1">
        <v>377</v>
      </c>
      <c r="I354" t="s" s="1">
        <v>2017</v>
      </c>
      <c r="J354" t="s" s="1">
        <v>1951</v>
      </c>
      <c r="K354" t="s" s="1">
        <v>560</v>
      </c>
      <c r="L354" t="s" s="1">
        <v>1051</v>
      </c>
      <c r="M354" t="n" s="5">
        <v>3680.0</v>
      </c>
      <c r="N354" t="n" s="7">
        <v>44816.0</v>
      </c>
      <c r="O354" t="n" s="7">
        <v>44926.0</v>
      </c>
      <c r="P354" t="s" s="1">
        <v>3259</v>
      </c>
    </row>
    <row r="355" spans="1:16">
      <c r="A355" t="n" s="4">
        <v>351</v>
      </c>
      <c r="B355" s="2">
        <f>HYPERLINK("https://my.zakupki.prom.ua/remote/dispatcher/state_purchase_view/37718975", "UA-2022-09-27-009787-a")</f>
        <v/>
      </c>
      <c r="C355" t="s" s="2">
        <v>2890</v>
      </c>
      <c r="D355" s="2">
        <f>HYPERLINK("https://my.zakupki.prom.ua/remote/dispatcher/state_contracting_view/14149380", "UA-2022-09-27-009787-a-c1")</f>
        <v/>
      </c>
      <c r="E355" t="s" s="1">
        <v>291</v>
      </c>
      <c r="F355" t="s" s="1">
        <v>2270</v>
      </c>
      <c r="G355" t="s" s="1">
        <v>2068</v>
      </c>
      <c r="H355" t="s" s="1">
        <v>425</v>
      </c>
      <c r="I355" t="s" s="1">
        <v>2017</v>
      </c>
      <c r="J355" t="s" s="1">
        <v>1927</v>
      </c>
      <c r="K355" t="s" s="1">
        <v>320</v>
      </c>
      <c r="L355" t="s" s="1">
        <v>1084</v>
      </c>
      <c r="M355" t="n" s="5">
        <v>400.0</v>
      </c>
      <c r="N355" t="n" s="7">
        <v>44831.0</v>
      </c>
      <c r="O355" t="n" s="7">
        <v>44926.0</v>
      </c>
      <c r="P355" t="s" s="1">
        <v>3259</v>
      </c>
    </row>
    <row r="356" spans="1:16">
      <c r="A356" t="n" s="4">
        <v>352</v>
      </c>
      <c r="B356" s="2">
        <f>HYPERLINK("https://my.zakupki.prom.ua/remote/dispatcher/state_purchase_view/37718783", "UA-2022-09-27-009637-a")</f>
        <v/>
      </c>
      <c r="C356" t="s" s="2">
        <v>2890</v>
      </c>
      <c r="D356" s="2">
        <f>HYPERLINK("https://my.zakupki.prom.ua/remote/dispatcher/state_contracting_view/14149325", "UA-2022-09-27-009637-a-a1")</f>
        <v/>
      </c>
      <c r="E356" t="s" s="1">
        <v>296</v>
      </c>
      <c r="F356" t="s" s="1">
        <v>2313</v>
      </c>
      <c r="G356" t="s" s="1">
        <v>1999</v>
      </c>
      <c r="H356" t="s" s="1">
        <v>594</v>
      </c>
      <c r="I356" t="s" s="1">
        <v>2017</v>
      </c>
      <c r="J356" t="s" s="1">
        <v>1927</v>
      </c>
      <c r="K356" t="s" s="1">
        <v>320</v>
      </c>
      <c r="L356" t="s" s="1">
        <v>1083</v>
      </c>
      <c r="M356" t="n" s="5">
        <v>185.0</v>
      </c>
      <c r="N356" t="n" s="7">
        <v>44831.0</v>
      </c>
      <c r="O356" t="n" s="7">
        <v>44926.0</v>
      </c>
      <c r="P356" t="s" s="1">
        <v>3259</v>
      </c>
    </row>
    <row r="357" spans="1:16">
      <c r="A357" t="n" s="4">
        <v>353</v>
      </c>
      <c r="B357" s="2">
        <f>HYPERLINK("https://my.zakupki.prom.ua/remote/dispatcher/state_purchase_view/36050846", "UA-2022-05-04-000883-a")</f>
        <v/>
      </c>
      <c r="C357" t="s" s="2">
        <v>2890</v>
      </c>
      <c r="D357" s="2">
        <f>HYPERLINK("https://my.zakupki.prom.ua/remote/dispatcher/state_contracting_view/13474498", "UA-2022-05-04-000883-a-b1")</f>
        <v/>
      </c>
      <c r="E357" t="s" s="1">
        <v>1808</v>
      </c>
      <c r="F357" t="s" s="1">
        <v>2126</v>
      </c>
      <c r="G357" t="s" s="1">
        <v>2961</v>
      </c>
      <c r="H357" t="s" s="1">
        <v>640</v>
      </c>
      <c r="I357" t="s" s="1">
        <v>1933</v>
      </c>
      <c r="J357" t="s" s="1">
        <v>3188</v>
      </c>
      <c r="K357" t="s" s="1">
        <v>595</v>
      </c>
      <c r="L357" t="s" s="1">
        <v>8</v>
      </c>
      <c r="M357" t="n" s="5">
        <v>327157.32</v>
      </c>
      <c r="N357" t="n" s="7">
        <v>44720.0</v>
      </c>
      <c r="O357" t="n" s="7">
        <v>44926.0</v>
      </c>
      <c r="P357" t="s" s="1">
        <v>3259</v>
      </c>
    </row>
    <row r="358" spans="1:16">
      <c r="A358" t="n" s="4">
        <v>354</v>
      </c>
      <c r="B358" s="2">
        <f>HYPERLINK("https://my.zakupki.prom.ua/remote/dispatcher/state_purchase_view/35959299", "UA-2022-04-19-002802-a")</f>
        <v/>
      </c>
      <c r="C358" t="s" s="2">
        <v>2890</v>
      </c>
      <c r="D358" s="2">
        <f>HYPERLINK("https://my.zakupki.prom.ua/remote/dispatcher/state_contracting_view/13285942", "UA-2022-04-19-002802-a-a1")</f>
        <v/>
      </c>
      <c r="E358" t="s" s="1">
        <v>39</v>
      </c>
      <c r="F358" t="s" s="1">
        <v>2163</v>
      </c>
      <c r="G358" t="s" s="1">
        <v>3247</v>
      </c>
      <c r="H358" t="s" s="1">
        <v>29</v>
      </c>
      <c r="I358" t="s" s="1">
        <v>2017</v>
      </c>
      <c r="J358" t="s" s="1">
        <v>2008</v>
      </c>
      <c r="K358" t="s" s="1">
        <v>671</v>
      </c>
      <c r="L358" t="s" s="1">
        <v>431</v>
      </c>
      <c r="M358" t="n" s="5">
        <v>163998.2</v>
      </c>
      <c r="N358" t="n" s="7">
        <v>44669.0</v>
      </c>
      <c r="O358" t="n" s="7">
        <v>44926.0</v>
      </c>
      <c r="P358" t="s" s="1">
        <v>3259</v>
      </c>
    </row>
    <row r="359" spans="1:16">
      <c r="A359" t="n" s="4">
        <v>355</v>
      </c>
      <c r="B359" s="2">
        <f>HYPERLINK("https://my.zakupki.prom.ua/remote/dispatcher/state_purchase_view/36347350", "UA-2022-06-10-003672-a")</f>
        <v/>
      </c>
      <c r="C359" t="s" s="2">
        <v>2890</v>
      </c>
      <c r="D359" s="2">
        <f>HYPERLINK("https://my.zakupki.prom.ua/remote/dispatcher/state_contracting_view/13484991", "UA-2022-06-10-003672-a-b1")</f>
        <v/>
      </c>
      <c r="E359" t="s" s="1">
        <v>1636</v>
      </c>
      <c r="F359" t="s" s="1">
        <v>2678</v>
      </c>
      <c r="G359" t="s" s="1">
        <v>2678</v>
      </c>
      <c r="H359" t="s" s="1">
        <v>1028</v>
      </c>
      <c r="I359" t="s" s="1">
        <v>2017</v>
      </c>
      <c r="J359" t="s" s="1">
        <v>3131</v>
      </c>
      <c r="K359" t="s" s="1">
        <v>743</v>
      </c>
      <c r="L359" t="s" s="1">
        <v>150</v>
      </c>
      <c r="M359" t="n" s="5">
        <v>24342.0</v>
      </c>
      <c r="N359" t="n" s="7">
        <v>44719.0</v>
      </c>
      <c r="O359" t="n" s="7">
        <v>44926.0</v>
      </c>
      <c r="P359" t="s" s="1">
        <v>3259</v>
      </c>
    </row>
    <row r="360" spans="1:16">
      <c r="A360" t="n" s="4">
        <v>356</v>
      </c>
      <c r="B360" s="2">
        <f>HYPERLINK("https://my.zakupki.prom.ua/remote/dispatcher/state_purchase_view/36357362", "UA-2022-06-13-002434-a")</f>
        <v/>
      </c>
      <c r="C360" t="s" s="2">
        <v>2890</v>
      </c>
      <c r="D360" s="2">
        <f>HYPERLINK("https://my.zakupki.prom.ua/remote/dispatcher/state_contracting_view/13490263", "UA-2022-06-13-002434-a-b1")</f>
        <v/>
      </c>
      <c r="E360" t="s" s="1">
        <v>1616</v>
      </c>
      <c r="F360" t="s" s="1">
        <v>2244</v>
      </c>
      <c r="G360" t="s" s="1">
        <v>2244</v>
      </c>
      <c r="H360" t="s" s="1">
        <v>377</v>
      </c>
      <c r="I360" t="s" s="1">
        <v>2017</v>
      </c>
      <c r="J360" t="s" s="1">
        <v>1952</v>
      </c>
      <c r="K360" t="s" s="1">
        <v>540</v>
      </c>
      <c r="L360" t="s" s="1">
        <v>616</v>
      </c>
      <c r="M360" t="n" s="5">
        <v>1232.01</v>
      </c>
      <c r="N360" t="n" s="7">
        <v>44725.0</v>
      </c>
      <c r="O360" t="n" s="7">
        <v>44926.0</v>
      </c>
      <c r="P360" t="s" s="1">
        <v>3259</v>
      </c>
    </row>
    <row r="361" spans="1:16">
      <c r="A361" t="n" s="4">
        <v>357</v>
      </c>
      <c r="B361" s="2">
        <f>HYPERLINK("https://my.zakupki.prom.ua/remote/dispatcher/state_purchase_view/39575758", "UA-2022-12-21-004183-a")</f>
        <v/>
      </c>
      <c r="C361" t="s" s="2">
        <v>2890</v>
      </c>
      <c r="D361" s="2">
        <f>HYPERLINK("https://my.zakupki.prom.ua/remote/dispatcher/state_contracting_view/15030348", "UA-2022-12-21-004183-a-a1")</f>
        <v/>
      </c>
      <c r="E361" t="s" s="1">
        <v>1522</v>
      </c>
      <c r="F361" t="s" s="1">
        <v>2502</v>
      </c>
      <c r="G361" t="s" s="1">
        <v>3172</v>
      </c>
      <c r="H361" t="s" s="1">
        <v>658</v>
      </c>
      <c r="I361" t="s" s="1">
        <v>2017</v>
      </c>
      <c r="J361" t="s" s="1">
        <v>3237</v>
      </c>
      <c r="K361" t="s" s="1">
        <v>687</v>
      </c>
      <c r="L361" t="s" s="1">
        <v>1328</v>
      </c>
      <c r="M361" t="n" s="5">
        <v>7014.0</v>
      </c>
      <c r="N361" t="n" s="7">
        <v>44915.0</v>
      </c>
      <c r="O361" t="n" s="7">
        <v>44926.0</v>
      </c>
      <c r="P361" t="s" s="1">
        <v>3259</v>
      </c>
    </row>
    <row r="362" spans="1:16">
      <c r="A362" t="n" s="4">
        <v>358</v>
      </c>
      <c r="B362" s="2">
        <f>HYPERLINK("https://my.zakupki.prom.ua/remote/dispatcher/state_purchase_view/39163476", "UA-2022-12-08-016165-a")</f>
        <v/>
      </c>
      <c r="C362" t="s" s="2">
        <v>2890</v>
      </c>
      <c r="D362" s="2">
        <f>HYPERLINK("https://my.zakupki.prom.ua/remote/dispatcher/state_contracting_view/14835317", "UA-2022-12-08-016165-a-c1")</f>
        <v/>
      </c>
      <c r="E362" t="s" s="1">
        <v>1648</v>
      </c>
      <c r="F362" t="s" s="1">
        <v>2589</v>
      </c>
      <c r="G362" t="s" s="1">
        <v>1987</v>
      </c>
      <c r="H362" t="s" s="1">
        <v>910</v>
      </c>
      <c r="I362" t="s" s="1">
        <v>2017</v>
      </c>
      <c r="J362" t="s" s="1">
        <v>1927</v>
      </c>
      <c r="K362" t="s" s="1">
        <v>320</v>
      </c>
      <c r="L362" t="s" s="1">
        <v>1300</v>
      </c>
      <c r="M362" t="n" s="5">
        <v>616.0</v>
      </c>
      <c r="N362" t="n" s="7">
        <v>44903.0</v>
      </c>
      <c r="O362" t="n" s="7">
        <v>44926.0</v>
      </c>
      <c r="P362" t="s" s="1">
        <v>3259</v>
      </c>
    </row>
    <row r="363" spans="1:16">
      <c r="A363" t="n" s="4">
        <v>359</v>
      </c>
      <c r="B363" s="2">
        <f>HYPERLINK("https://my.zakupki.prom.ua/remote/dispatcher/state_purchase_view/38151839", "UA-2022-10-25-007205-a")</f>
        <v/>
      </c>
      <c r="C363" t="s" s="2">
        <v>2890</v>
      </c>
      <c r="D363" s="2">
        <f>HYPERLINK("https://my.zakupki.prom.ua/remote/dispatcher/state_contracting_view/14366754", "UA-2022-10-25-007205-a-a1")</f>
        <v/>
      </c>
      <c r="E363" t="s" s="1">
        <v>76</v>
      </c>
      <c r="F363" t="s" s="1">
        <v>2579</v>
      </c>
      <c r="G363" t="s" s="1">
        <v>2579</v>
      </c>
      <c r="H363" t="s" s="1">
        <v>903</v>
      </c>
      <c r="I363" t="s" s="1">
        <v>2017</v>
      </c>
      <c r="J363" t="s" s="1">
        <v>1927</v>
      </c>
      <c r="K363" t="s" s="1">
        <v>320</v>
      </c>
      <c r="L363" t="s" s="1">
        <v>1184</v>
      </c>
      <c r="M363" t="n" s="5">
        <v>1056.0</v>
      </c>
      <c r="N363" t="n" s="7">
        <v>44859.0</v>
      </c>
      <c r="O363" t="n" s="7">
        <v>44926.0</v>
      </c>
      <c r="P363" t="s" s="1">
        <v>3259</v>
      </c>
    </row>
    <row r="364" spans="1:16">
      <c r="A364" t="n" s="4">
        <v>360</v>
      </c>
      <c r="B364" s="2">
        <f>HYPERLINK("https://my.zakupki.prom.ua/remote/dispatcher/state_purchase_view/38190422", "UA-2022-10-27-000724-a")</f>
        <v/>
      </c>
      <c r="C364" t="s" s="2">
        <v>2890</v>
      </c>
      <c r="D364" s="2">
        <f>HYPERLINK("https://my.zakupki.prom.ua/remote/dispatcher/state_contracting_view/14384501", "UA-2022-10-27-000724-a-c1")</f>
        <v/>
      </c>
      <c r="E364" t="s" s="1">
        <v>465</v>
      </c>
      <c r="F364" t="s" s="1">
        <v>2785</v>
      </c>
      <c r="G364" t="s" s="1">
        <v>2785</v>
      </c>
      <c r="H364" t="s" s="1">
        <v>1523</v>
      </c>
      <c r="I364" t="s" s="1">
        <v>2017</v>
      </c>
      <c r="J364" t="s" s="1">
        <v>3123</v>
      </c>
      <c r="K364" t="s" s="1">
        <v>672</v>
      </c>
      <c r="L364" t="s" s="1">
        <v>216</v>
      </c>
      <c r="M364" t="n" s="5">
        <v>30960.0</v>
      </c>
      <c r="N364" t="n" s="7">
        <v>44861.0</v>
      </c>
      <c r="O364" t="n" s="7">
        <v>44926.0</v>
      </c>
      <c r="P364" t="s" s="1">
        <v>3259</v>
      </c>
    </row>
    <row r="365" spans="1:16">
      <c r="A365" t="n" s="4">
        <v>361</v>
      </c>
      <c r="B365" s="2">
        <f>HYPERLINK("https://my.zakupki.prom.ua/remote/dispatcher/state_purchase_view/38353488", "UA-2022-11-04-004258-a")</f>
        <v/>
      </c>
      <c r="C365" t="s" s="2">
        <v>2890</v>
      </c>
      <c r="D365" s="2">
        <f>HYPERLINK("https://my.zakupki.prom.ua/remote/dispatcher/state_contracting_view/14463216", "UA-2022-11-04-004258-a-c1")</f>
        <v/>
      </c>
      <c r="E365" t="s" s="1">
        <v>1760</v>
      </c>
      <c r="F365" t="s" s="1">
        <v>2725</v>
      </c>
      <c r="G365" t="s" s="1">
        <v>2725</v>
      </c>
      <c r="H365" t="s" s="1">
        <v>1320</v>
      </c>
      <c r="I365" t="s" s="1">
        <v>2017</v>
      </c>
      <c r="J365" t="s" s="1">
        <v>3091</v>
      </c>
      <c r="K365" t="s" s="1">
        <v>906</v>
      </c>
      <c r="L365" t="s" s="1">
        <v>1194</v>
      </c>
      <c r="M365" t="n" s="5">
        <v>9600.0</v>
      </c>
      <c r="N365" t="n" s="7">
        <v>44869.0</v>
      </c>
      <c r="O365" t="n" s="7">
        <v>44926.0</v>
      </c>
      <c r="P365" t="s" s="1">
        <v>3259</v>
      </c>
    </row>
    <row r="366" spans="1:16">
      <c r="A366" t="n" s="4">
        <v>362</v>
      </c>
      <c r="B366" s="2">
        <f>HYPERLINK("https://my.zakupki.prom.ua/remote/dispatcher/state_purchase_view/38385985", "UA-2022-11-07-006568-a")</f>
        <v/>
      </c>
      <c r="C366" t="s" s="2">
        <v>2890</v>
      </c>
      <c r="D366" s="2">
        <f>HYPERLINK("https://my.zakupki.prom.ua/remote/dispatcher/state_contracting_view/14477543", "UA-2022-11-07-006568-a-b1")</f>
        <v/>
      </c>
      <c r="E366" t="s" s="1">
        <v>345</v>
      </c>
      <c r="F366" t="s" s="1">
        <v>2675</v>
      </c>
      <c r="G366" t="s" s="1">
        <v>2675</v>
      </c>
      <c r="H366" t="s" s="1">
        <v>1027</v>
      </c>
      <c r="I366" t="s" s="1">
        <v>2017</v>
      </c>
      <c r="J366" t="s" s="1">
        <v>1970</v>
      </c>
      <c r="K366" t="s" s="1">
        <v>40</v>
      </c>
      <c r="L366" t="s" s="1">
        <v>358</v>
      </c>
      <c r="M366" t="n" s="5">
        <v>5670.0</v>
      </c>
      <c r="N366" t="n" s="7">
        <v>44872.0</v>
      </c>
      <c r="O366" t="n" s="7">
        <v>44926.0</v>
      </c>
      <c r="P366" t="s" s="1">
        <v>3259</v>
      </c>
    </row>
    <row r="367" spans="1:16">
      <c r="A367" t="n" s="4">
        <v>363</v>
      </c>
      <c r="B367" s="2">
        <f>HYPERLINK("https://my.zakupki.prom.ua/remote/dispatcher/state_purchase_view/38566982", "UA-2022-11-15-003948-a")</f>
        <v/>
      </c>
      <c r="C367" t="s" s="2">
        <v>2890</v>
      </c>
      <c r="D367" s="2">
        <f>HYPERLINK("https://my.zakupki.prom.ua/remote/dispatcher/state_contracting_view/14561405", "UA-2022-11-15-003948-a-c1")</f>
        <v/>
      </c>
      <c r="E367" t="s" s="1">
        <v>1647</v>
      </c>
      <c r="F367" t="s" s="1">
        <v>2577</v>
      </c>
      <c r="G367" t="s" s="1">
        <v>3168</v>
      </c>
      <c r="H367" t="s" s="1">
        <v>902</v>
      </c>
      <c r="I367" t="s" s="1">
        <v>2017</v>
      </c>
      <c r="J367" t="s" s="1">
        <v>1927</v>
      </c>
      <c r="K367" t="s" s="1">
        <v>320</v>
      </c>
      <c r="L367" t="s" s="1">
        <v>1225</v>
      </c>
      <c r="M367" t="n" s="5">
        <v>8430.0</v>
      </c>
      <c r="N367" t="n" s="7">
        <v>44880.0</v>
      </c>
      <c r="O367" t="n" s="7">
        <v>44926.0</v>
      </c>
      <c r="P367" t="s" s="1">
        <v>3259</v>
      </c>
    </row>
    <row r="368" spans="1:16">
      <c r="A368" t="n" s="4">
        <v>364</v>
      </c>
      <c r="B368" s="2">
        <f>HYPERLINK("https://my.zakupki.prom.ua/remote/dispatcher/state_purchase_view/39809860", "UA-2022-12-28-001994-a")</f>
        <v/>
      </c>
      <c r="C368" t="s" s="2">
        <v>2890</v>
      </c>
      <c r="D368" s="2">
        <f>HYPERLINK("https://my.zakupki.prom.ua/remote/dispatcher/state_contracting_view/15144350", "UA-2022-12-28-001994-a-b1")</f>
        <v/>
      </c>
      <c r="E368" t="s" s="1">
        <v>1817</v>
      </c>
      <c r="F368" t="s" s="1">
        <v>2774</v>
      </c>
      <c r="G368" t="s" s="1">
        <v>1937</v>
      </c>
      <c r="H368" t="s" s="1">
        <v>1445</v>
      </c>
      <c r="I368" t="s" s="1">
        <v>2017</v>
      </c>
      <c r="J368" t="s" s="1">
        <v>3097</v>
      </c>
      <c r="K368" t="s" s="1">
        <v>773</v>
      </c>
      <c r="L368" t="s" s="1">
        <v>1383</v>
      </c>
      <c r="M368" t="n" s="5">
        <v>431.16</v>
      </c>
      <c r="N368" t="n" s="7">
        <v>44921.0</v>
      </c>
      <c r="O368" t="n" s="7">
        <v>44926.0</v>
      </c>
      <c r="P368" t="s" s="1">
        <v>3259</v>
      </c>
    </row>
    <row r="369" spans="1:16">
      <c r="A369" t="n" s="4">
        <v>365</v>
      </c>
      <c r="B369" s="2">
        <f>HYPERLINK("https://my.zakupki.prom.ua/remote/dispatcher/state_purchase_view/39876484", "UA-2022-12-30-003547-a")</f>
        <v/>
      </c>
      <c r="C369" t="s" s="2">
        <v>2890</v>
      </c>
      <c r="D369" s="2">
        <f>HYPERLINK("https://my.zakupki.prom.ua/remote/dispatcher/state_contracting_view/15177584", "UA-2022-12-30-003547-a-c1")</f>
        <v/>
      </c>
      <c r="E369" t="s" s="1">
        <v>1277</v>
      </c>
      <c r="F369" t="s" s="1">
        <v>2668</v>
      </c>
      <c r="G369" t="s" s="1">
        <v>2022</v>
      </c>
      <c r="H369" t="s" s="1">
        <v>1024</v>
      </c>
      <c r="I369" t="s" s="1">
        <v>2017</v>
      </c>
      <c r="J369" t="s" s="1">
        <v>2859</v>
      </c>
      <c r="K369" t="s" s="1">
        <v>541</v>
      </c>
      <c r="L369" t="s" s="1">
        <v>1386</v>
      </c>
      <c r="M369" t="n" s="5">
        <v>1110.0</v>
      </c>
      <c r="N369" t="n" s="7">
        <v>44925.0</v>
      </c>
      <c r="O369" t="n" s="7">
        <v>44926.0</v>
      </c>
      <c r="P369" t="s" s="1">
        <v>3259</v>
      </c>
    </row>
    <row r="370" spans="1:16">
      <c r="A370" t="n" s="4">
        <v>366</v>
      </c>
      <c r="B370" s="2">
        <f>HYPERLINK("https://my.zakupki.prom.ua/remote/dispatcher/state_purchase_view/39770795", "UA-2022-12-27-002499-a")</f>
        <v/>
      </c>
      <c r="C370" t="s" s="2">
        <v>2890</v>
      </c>
      <c r="D370" s="2">
        <f>HYPERLINK("https://my.zakupki.prom.ua/remote/dispatcher/state_contracting_view/15124714", "UA-2022-12-27-002499-a-c1")</f>
        <v/>
      </c>
      <c r="E370" t="s" s="1">
        <v>1583</v>
      </c>
      <c r="F370" t="s" s="1">
        <v>2703</v>
      </c>
      <c r="G370" t="s" s="1">
        <v>2955</v>
      </c>
      <c r="H370" t="s" s="1">
        <v>1313</v>
      </c>
      <c r="I370" t="s" s="1">
        <v>2017</v>
      </c>
      <c r="J370" t="s" s="1">
        <v>3133</v>
      </c>
      <c r="K370" t="s" s="1">
        <v>877</v>
      </c>
      <c r="L370" t="s" s="1">
        <v>1326</v>
      </c>
      <c r="M370" t="n" s="5">
        <v>7600.0</v>
      </c>
      <c r="N370" t="n" s="7">
        <v>44921.0</v>
      </c>
      <c r="O370" t="n" s="7">
        <v>44926.0</v>
      </c>
      <c r="P370" t="s" s="1">
        <v>3259</v>
      </c>
    </row>
    <row r="371" spans="1:16">
      <c r="A371" t="n" s="4">
        <v>367</v>
      </c>
      <c r="B371" s="2">
        <f>HYPERLINK("https://my.zakupki.prom.ua/remote/dispatcher/state_purchase_view/35680517", "UA-2022-03-17-002759-a")</f>
        <v/>
      </c>
      <c r="C371" t="s" s="2">
        <v>2890</v>
      </c>
      <c r="D371" s="2">
        <f>HYPERLINK("https://my.zakupki.prom.ua/remote/dispatcher/state_contracting_view/13278221", "UA-2022-03-17-002759-a-b1")</f>
        <v/>
      </c>
      <c r="E371" t="s" s="1">
        <v>1724</v>
      </c>
      <c r="F371" t="s" s="1">
        <v>2129</v>
      </c>
      <c r="G371" t="s" s="1">
        <v>3268</v>
      </c>
      <c r="H371" t="s" s="1">
        <v>176</v>
      </c>
      <c r="I371" t="s" s="1">
        <v>1933</v>
      </c>
      <c r="J371" t="s" s="1">
        <v>3198</v>
      </c>
      <c r="K371" t="s" s="1">
        <v>563</v>
      </c>
      <c r="L371" t="s" s="1">
        <v>390</v>
      </c>
      <c r="M371" t="n" s="5">
        <v>679400.0</v>
      </c>
      <c r="N371" t="n" s="7">
        <v>44669.0</v>
      </c>
      <c r="O371" t="n" s="7">
        <v>44926.0</v>
      </c>
      <c r="P371" t="s" s="1">
        <v>3259</v>
      </c>
    </row>
    <row r="372" spans="1:16">
      <c r="A372" t="n" s="4">
        <v>368</v>
      </c>
      <c r="B372" s="2">
        <f>HYPERLINK("https://my.zakupki.prom.ua/remote/dispatcher/state_purchase_view/35886055", "UA-2022-04-11-002211-b")</f>
        <v/>
      </c>
      <c r="C372" t="s" s="2">
        <v>2890</v>
      </c>
      <c r="D372" s="2">
        <f>HYPERLINK("https://my.zakupki.prom.ua/remote/dispatcher/state_contracting_view/13247990", "UA-2022-04-11-002211-b-b1")</f>
        <v/>
      </c>
      <c r="E372" t="s" s="1">
        <v>1518</v>
      </c>
      <c r="F372" t="s" s="1">
        <v>2279</v>
      </c>
      <c r="G372" t="s" s="1">
        <v>2279</v>
      </c>
      <c r="H372" t="s" s="1">
        <v>548</v>
      </c>
      <c r="I372" t="s" s="1">
        <v>2017</v>
      </c>
      <c r="J372" t="s" s="1">
        <v>1975</v>
      </c>
      <c r="K372" t="s" s="1">
        <v>603</v>
      </c>
      <c r="L372" t="s" s="1">
        <v>300</v>
      </c>
      <c r="M372" t="n" s="5">
        <v>24730.0</v>
      </c>
      <c r="N372" t="n" s="7">
        <v>44662.0</v>
      </c>
      <c r="O372" t="n" s="7">
        <v>44926.0</v>
      </c>
      <c r="P372" t="s" s="1">
        <v>3259</v>
      </c>
    </row>
    <row r="373" spans="1:16">
      <c r="A373" t="n" s="4">
        <v>369</v>
      </c>
      <c r="B373" s="2">
        <f>HYPERLINK("https://my.zakupki.prom.ua/remote/dispatcher/state_purchase_view/35900177", "UA-2022-04-12-003380-b")</f>
        <v/>
      </c>
      <c r="C373" t="s" s="2">
        <v>2890</v>
      </c>
      <c r="D373" s="2">
        <f>HYPERLINK("https://my.zakupki.prom.ua/remote/dispatcher/state_contracting_view/13255099", "UA-2022-04-12-003380-b-b1")</f>
        <v/>
      </c>
      <c r="E373" t="s" s="1">
        <v>1307</v>
      </c>
      <c r="F373" t="s" s="1">
        <v>2580</v>
      </c>
      <c r="G373" t="s" s="1">
        <v>2580</v>
      </c>
      <c r="H373" t="s" s="1">
        <v>903</v>
      </c>
      <c r="I373" t="s" s="1">
        <v>2017</v>
      </c>
      <c r="J373" t="s" s="1">
        <v>1952</v>
      </c>
      <c r="K373" t="s" s="1">
        <v>540</v>
      </c>
      <c r="L373" t="s" s="1">
        <v>344</v>
      </c>
      <c r="M373" t="n" s="5">
        <v>300.0</v>
      </c>
      <c r="N373" t="n" s="7">
        <v>44663.0</v>
      </c>
      <c r="O373" t="n" s="7">
        <v>44926.0</v>
      </c>
      <c r="P373" t="s" s="1">
        <v>3259</v>
      </c>
    </row>
    <row r="374" spans="1:16">
      <c r="A374" t="n" s="4">
        <v>370</v>
      </c>
      <c r="B374" s="2">
        <f>HYPERLINK("https://my.zakupki.prom.ua/remote/dispatcher/state_purchase_view/35960629", "UA-2022-04-19-003262-a")</f>
        <v/>
      </c>
      <c r="C374" t="s" s="2">
        <v>2890</v>
      </c>
      <c r="D374" s="2">
        <f>HYPERLINK("https://my.zakupki.prom.ua/remote/dispatcher/state_contracting_view/13286582", "UA-2022-04-19-003262-a-a1")</f>
        <v/>
      </c>
      <c r="E374" t="s" s="1">
        <v>1146</v>
      </c>
      <c r="F374" t="s" s="1">
        <v>2731</v>
      </c>
      <c r="G374" t="s" s="1">
        <v>2731</v>
      </c>
      <c r="H374" t="s" s="1">
        <v>1322</v>
      </c>
      <c r="I374" t="s" s="1">
        <v>2017</v>
      </c>
      <c r="J374" t="s" s="1">
        <v>1969</v>
      </c>
      <c r="K374" t="s" s="1">
        <v>317</v>
      </c>
      <c r="L374" t="s" s="1">
        <v>117</v>
      </c>
      <c r="M374" t="n" s="5">
        <v>2323.15</v>
      </c>
      <c r="N374" t="n" s="7">
        <v>44670.0</v>
      </c>
      <c r="O374" t="n" s="7">
        <v>44926.0</v>
      </c>
      <c r="P374" t="s" s="1">
        <v>3259</v>
      </c>
    </row>
    <row r="375" spans="1:16">
      <c r="A375" t="n" s="4">
        <v>371</v>
      </c>
      <c r="B375" s="2">
        <f>HYPERLINK("https://my.zakupki.prom.ua/remote/dispatcher/state_purchase_view/35960670", "UA-2022-04-19-003296-a")</f>
        <v/>
      </c>
      <c r="C375" t="s" s="2">
        <v>2890</v>
      </c>
      <c r="D375" s="2">
        <f>HYPERLINK("https://my.zakupki.prom.ua/remote/dispatcher/state_contracting_view/13286652", "UA-2022-04-19-003296-a-a1")</f>
        <v/>
      </c>
      <c r="E375" t="s" s="1">
        <v>1433</v>
      </c>
      <c r="F375" t="s" s="1">
        <v>2730</v>
      </c>
      <c r="G375" t="s" s="1">
        <v>2730</v>
      </c>
      <c r="H375" t="s" s="1">
        <v>1322</v>
      </c>
      <c r="I375" t="s" s="1">
        <v>2017</v>
      </c>
      <c r="J375" t="s" s="1">
        <v>1969</v>
      </c>
      <c r="K375" t="s" s="1">
        <v>317</v>
      </c>
      <c r="L375" t="s" s="1">
        <v>118</v>
      </c>
      <c r="M375" t="n" s="5">
        <v>1451.96</v>
      </c>
      <c r="N375" t="n" s="7">
        <v>44670.0</v>
      </c>
      <c r="O375" t="n" s="7">
        <v>44926.0</v>
      </c>
      <c r="P375" t="s" s="1">
        <v>3259</v>
      </c>
    </row>
    <row r="376" spans="1:16">
      <c r="A376" t="n" s="4">
        <v>372</v>
      </c>
      <c r="B376" s="2">
        <f>HYPERLINK("https://my.zakupki.prom.ua/remote/dispatcher/state_purchase_view/35207267", "UA-2022-02-15-011781-b")</f>
        <v/>
      </c>
      <c r="C376" t="s" s="2">
        <v>2890</v>
      </c>
      <c r="D376" s="2">
        <f>HYPERLINK("https://my.zakupki.prom.ua/remote/dispatcher/state_contracting_view/12903557", "UA-2022-02-15-011781-b-b1")</f>
        <v/>
      </c>
      <c r="E376" t="s" s="1">
        <v>1298</v>
      </c>
      <c r="F376" t="s" s="1">
        <v>2146</v>
      </c>
      <c r="G376" t="s" s="1">
        <v>2060</v>
      </c>
      <c r="H376" t="s" s="1">
        <v>650</v>
      </c>
      <c r="I376" t="s" s="1">
        <v>2017</v>
      </c>
      <c r="J376" t="s" s="1">
        <v>3079</v>
      </c>
      <c r="K376" t="s" s="1">
        <v>337</v>
      </c>
      <c r="L376" t="s" s="1">
        <v>127</v>
      </c>
      <c r="M376" t="n" s="5">
        <v>90014.0</v>
      </c>
      <c r="N376" t="n" s="7">
        <v>44607.0</v>
      </c>
      <c r="O376" t="n" s="7">
        <v>44926.0</v>
      </c>
      <c r="P376" t="s" s="1">
        <v>3259</v>
      </c>
    </row>
    <row r="377" spans="1:16">
      <c r="A377" t="n" s="4">
        <v>373</v>
      </c>
      <c r="B377" s="2">
        <f>HYPERLINK("https://my.zakupki.prom.ua/remote/dispatcher/state_purchase_view/35224716", "UA-2022-02-16-003395-b")</f>
        <v/>
      </c>
      <c r="C377" t="s" s="2">
        <v>2890</v>
      </c>
      <c r="D377" s="2">
        <f>HYPERLINK("https://my.zakupki.prom.ua/remote/dispatcher/state_contracting_view/12913696", "UA-2022-02-16-003395-b-b1")</f>
        <v/>
      </c>
      <c r="E377" t="s" s="1">
        <v>1513</v>
      </c>
      <c r="F377" t="s" s="1">
        <v>2745</v>
      </c>
      <c r="G377" t="s" s="1">
        <v>2745</v>
      </c>
      <c r="H377" t="s" s="1">
        <v>1420</v>
      </c>
      <c r="I377" t="s" s="1">
        <v>2017</v>
      </c>
      <c r="J377" t="s" s="1">
        <v>2840</v>
      </c>
      <c r="K377" t="s" s="1">
        <v>21</v>
      </c>
      <c r="L377" t="s" s="1">
        <v>136</v>
      </c>
      <c r="M377" t="n" s="5">
        <v>14310.0</v>
      </c>
      <c r="N377" t="n" s="7">
        <v>44606.0</v>
      </c>
      <c r="O377" t="n" s="7">
        <v>44926.0</v>
      </c>
      <c r="P377" t="s" s="1">
        <v>3259</v>
      </c>
    </row>
    <row r="378" spans="1:16">
      <c r="A378" t="n" s="4">
        <v>374</v>
      </c>
      <c r="B378" s="2">
        <f>HYPERLINK("https://my.zakupki.prom.ua/remote/dispatcher/state_purchase_view/34910571", "UA-2022-02-07-012969-b")</f>
        <v/>
      </c>
      <c r="C378" t="s" s="2">
        <v>2890</v>
      </c>
      <c r="D378" s="2">
        <f>HYPERLINK("https://my.zakupki.prom.ua/remote/dispatcher/state_contracting_view/12768531", "UA-2022-02-07-012969-b-b1")</f>
        <v/>
      </c>
      <c r="E378" t="s" s="1">
        <v>1416</v>
      </c>
      <c r="F378" t="s" s="1">
        <v>2324</v>
      </c>
      <c r="G378" t="s" s="1">
        <v>2324</v>
      </c>
      <c r="H378" t="s" s="1">
        <v>636</v>
      </c>
      <c r="I378" t="s" s="1">
        <v>2017</v>
      </c>
      <c r="J378" t="s" s="1">
        <v>3100</v>
      </c>
      <c r="K378" t="s" s="1">
        <v>652</v>
      </c>
      <c r="L378" t="s" s="1">
        <v>726</v>
      </c>
      <c r="M378" t="n" s="5">
        <v>49920.0</v>
      </c>
      <c r="N378" t="n" s="7">
        <v>44599.0</v>
      </c>
      <c r="O378" t="n" s="7">
        <v>44926.0</v>
      </c>
      <c r="P378" t="s" s="1">
        <v>3259</v>
      </c>
    </row>
    <row r="379" spans="1:16">
      <c r="A379" t="n" s="4">
        <v>375</v>
      </c>
      <c r="B379" s="2">
        <f>HYPERLINK("https://my.zakupki.prom.ua/remote/dispatcher/state_purchase_view/33695003", "UA-2021-12-24-006033-c")</f>
        <v/>
      </c>
      <c r="C379" t="s" s="2">
        <v>2890</v>
      </c>
      <c r="D379" s="2">
        <f>HYPERLINK("https://my.zakupki.prom.ua/remote/dispatcher/state_contracting_view/12522621", "UA-2021-12-24-006033-c-a1")</f>
        <v/>
      </c>
      <c r="E379" t="s" s="1">
        <v>1735</v>
      </c>
      <c r="F379" t="s" s="1">
        <v>2097</v>
      </c>
      <c r="G379" t="s" s="1">
        <v>2097</v>
      </c>
      <c r="H379" t="s" s="1">
        <v>640</v>
      </c>
      <c r="I379" t="s" s="1">
        <v>1933</v>
      </c>
      <c r="J379" t="s" s="1">
        <v>3086</v>
      </c>
      <c r="K379" t="s" s="1">
        <v>758</v>
      </c>
      <c r="L379" t="s" s="1">
        <v>487</v>
      </c>
      <c r="M379" t="n" s="5">
        <v>594000.0</v>
      </c>
      <c r="N379" t="n" s="7">
        <v>44586.0</v>
      </c>
      <c r="O379" t="n" s="7">
        <v>44926.0</v>
      </c>
      <c r="P379" t="s" s="1">
        <v>3259</v>
      </c>
    </row>
    <row r="380" spans="1:16">
      <c r="A380" t="n" s="4">
        <v>376</v>
      </c>
      <c r="B380" s="2">
        <f>HYPERLINK("https://my.zakupki.prom.ua/remote/dispatcher/state_purchase_view/35945490", "UA-2022-04-18-001589-a")</f>
        <v/>
      </c>
      <c r="C380" t="s" s="2">
        <v>2890</v>
      </c>
      <c r="D380" s="2">
        <f>HYPERLINK("https://my.zakupki.prom.ua/remote/dispatcher/state_contracting_view/13278467", "UA-2022-04-18-001589-a-a1")</f>
        <v/>
      </c>
      <c r="E380" t="s" s="1">
        <v>1597</v>
      </c>
      <c r="F380" t="s" s="1">
        <v>2237</v>
      </c>
      <c r="G380" t="s" s="1">
        <v>2237</v>
      </c>
      <c r="H380" t="s" s="1">
        <v>370</v>
      </c>
      <c r="I380" t="s" s="1">
        <v>2017</v>
      </c>
      <c r="J380" t="s" s="1">
        <v>3191</v>
      </c>
      <c r="K380" t="s" s="1">
        <v>306</v>
      </c>
      <c r="L380" t="s" s="1">
        <v>392</v>
      </c>
      <c r="M380" t="n" s="5">
        <v>14600.0</v>
      </c>
      <c r="N380" t="n" s="7">
        <v>44669.0</v>
      </c>
      <c r="O380" t="n" s="7">
        <v>44926.0</v>
      </c>
      <c r="P380" t="s" s="1">
        <v>3259</v>
      </c>
    </row>
    <row r="381" spans="1:16">
      <c r="A381" t="n" s="4">
        <v>377</v>
      </c>
      <c r="B381" s="2">
        <f>HYPERLINK("https://my.zakupki.prom.ua/remote/dispatcher/state_purchase_view/35902232", "UA-2022-04-12-004054-b")</f>
        <v/>
      </c>
      <c r="C381" t="s" s="2">
        <v>2890</v>
      </c>
      <c r="D381" s="2">
        <f>HYPERLINK("https://my.zakupki.prom.ua/remote/dispatcher/state_contracting_view/13256427", "UA-2022-04-12-004054-b-b1")</f>
        <v/>
      </c>
      <c r="E381" t="s" s="1">
        <v>1432</v>
      </c>
      <c r="F381" t="s" s="1">
        <v>2411</v>
      </c>
      <c r="G381" t="s" s="1">
        <v>2065</v>
      </c>
      <c r="H381" t="s" s="1">
        <v>650</v>
      </c>
      <c r="I381" t="s" s="1">
        <v>2017</v>
      </c>
      <c r="J381" t="s" s="1">
        <v>3124</v>
      </c>
      <c r="K381" t="s" s="1">
        <v>337</v>
      </c>
      <c r="L381" t="s" s="1">
        <v>257</v>
      </c>
      <c r="M381" t="n" s="5">
        <v>8503.06</v>
      </c>
      <c r="N381" t="n" s="7">
        <v>44662.0</v>
      </c>
      <c r="O381" t="n" s="7">
        <v>44926.0</v>
      </c>
      <c r="P381" t="s" s="1">
        <v>3259</v>
      </c>
    </row>
    <row r="382" spans="1:16">
      <c r="A382" t="n" s="4">
        <v>378</v>
      </c>
      <c r="B382" s="2">
        <f>HYPERLINK("https://my.zakupki.prom.ua/remote/dispatcher/state_purchase_view/35141746", "UA-2022-02-14-006926-b")</f>
        <v/>
      </c>
      <c r="C382" t="s" s="2">
        <v>2890</v>
      </c>
      <c r="D382" s="2">
        <f>HYPERLINK("https://my.zakupki.prom.ua/remote/dispatcher/state_contracting_view/12871865", "UA-2022-02-14-006926-b-b1")</f>
        <v/>
      </c>
      <c r="E382" t="s" s="1">
        <v>1588</v>
      </c>
      <c r="F382" t="s" s="1">
        <v>2810</v>
      </c>
      <c r="G382" t="s" s="1">
        <v>2810</v>
      </c>
      <c r="H382" t="s" s="1">
        <v>1024</v>
      </c>
      <c r="I382" t="s" s="1">
        <v>2017</v>
      </c>
      <c r="J382" t="s" s="1">
        <v>2860</v>
      </c>
      <c r="K382" t="s" s="1">
        <v>541</v>
      </c>
      <c r="L382" t="s" s="1">
        <v>1453</v>
      </c>
      <c r="M382" t="n" s="5">
        <v>960.0</v>
      </c>
      <c r="N382" t="n" s="7">
        <v>44606.0</v>
      </c>
      <c r="O382" t="n" s="7">
        <v>44926.0</v>
      </c>
      <c r="P382" t="s" s="1">
        <v>3259</v>
      </c>
    </row>
    <row r="383" spans="1:16">
      <c r="A383" t="n" s="4">
        <v>379</v>
      </c>
      <c r="B383" s="2">
        <f>HYPERLINK("https://my.zakupki.prom.ua/remote/dispatcher/state_purchase_view/34142633", "UA-2022-01-18-000367-a")</f>
        <v/>
      </c>
      <c r="C383" t="s" s="2">
        <v>2890</v>
      </c>
      <c r="D383" s="2">
        <f>HYPERLINK("https://my.zakupki.prom.ua/remote/dispatcher/state_contracting_view/12416040", "UA-2022-01-18-000367-a-a1")</f>
        <v/>
      </c>
      <c r="E383" t="s" s="1">
        <v>1593</v>
      </c>
      <c r="F383" t="s" s="1">
        <v>2520</v>
      </c>
      <c r="G383" t="s" s="1">
        <v>2520</v>
      </c>
      <c r="H383" t="s" s="1">
        <v>769</v>
      </c>
      <c r="I383" t="s" s="1">
        <v>2017</v>
      </c>
      <c r="J383" t="s" s="1">
        <v>3081</v>
      </c>
      <c r="K383" t="s" s="1">
        <v>888</v>
      </c>
      <c r="L383" t="s" s="1">
        <v>308</v>
      </c>
      <c r="M383" t="n" s="5">
        <v>47800.0</v>
      </c>
      <c r="N383" t="n" s="7">
        <v>44578.0</v>
      </c>
      <c r="O383" t="n" s="7">
        <v>44926.0</v>
      </c>
      <c r="P383" t="s" s="1">
        <v>3259</v>
      </c>
    </row>
    <row r="384" spans="1:16">
      <c r="A384" t="n" s="4">
        <v>380</v>
      </c>
      <c r="B384" s="2">
        <f>HYPERLINK("https://my.zakupki.prom.ua/remote/dispatcher/state_purchase_view/33938496", "UA-2022-01-05-000467-c")</f>
        <v/>
      </c>
      <c r="C384" t="s" s="2">
        <v>2890</v>
      </c>
      <c r="D384" s="2">
        <f>HYPERLINK("https://my.zakupki.prom.ua/remote/dispatcher/state_contracting_view/12340148", "UA-2022-01-05-000467-c-c1")</f>
        <v/>
      </c>
      <c r="E384" t="s" s="1">
        <v>1535</v>
      </c>
      <c r="F384" t="s" s="1">
        <v>2692</v>
      </c>
      <c r="G384" t="s" s="1">
        <v>2692</v>
      </c>
      <c r="H384" t="s" s="1">
        <v>1201</v>
      </c>
      <c r="I384" t="s" s="1">
        <v>2017</v>
      </c>
      <c r="J384" t="s" s="1">
        <v>3083</v>
      </c>
      <c r="K384" t="s" s="1">
        <v>742</v>
      </c>
      <c r="L384" t="s" s="1">
        <v>242</v>
      </c>
      <c r="M384" t="n" s="5">
        <v>5400.0</v>
      </c>
      <c r="N384" t="n" s="7">
        <v>44566.0</v>
      </c>
      <c r="O384" t="n" s="7">
        <v>44926.0</v>
      </c>
      <c r="P384" t="s" s="1">
        <v>3259</v>
      </c>
    </row>
    <row r="385" spans="1:16">
      <c r="A385" t="n" s="4">
        <v>381</v>
      </c>
      <c r="B385" s="2">
        <f>HYPERLINK("https://my.zakupki.prom.ua/remote/dispatcher/state_purchase_view/35150667", "UA-2022-02-14-010025-b")</f>
        <v/>
      </c>
      <c r="C385" t="s" s="2">
        <v>2890</v>
      </c>
      <c r="D385" s="2">
        <f>HYPERLINK("https://my.zakupki.prom.ua/remote/dispatcher/state_contracting_view/13141299", "UA-2022-02-14-010025-b-a1")</f>
        <v/>
      </c>
      <c r="E385" t="s" s="1">
        <v>1635</v>
      </c>
      <c r="F385" t="s" s="1">
        <v>2488</v>
      </c>
      <c r="G385" t="s" s="1">
        <v>1888</v>
      </c>
      <c r="H385" t="s" s="1">
        <v>653</v>
      </c>
      <c r="I385" t="s" s="1">
        <v>1933</v>
      </c>
      <c r="J385" t="s" s="1">
        <v>3193</v>
      </c>
      <c r="K385" t="s" s="1">
        <v>627</v>
      </c>
      <c r="L385" t="s" s="1">
        <v>224</v>
      </c>
      <c r="M385" t="n" s="5">
        <v>800000.0</v>
      </c>
      <c r="N385" t="n" s="7">
        <v>44637.0</v>
      </c>
      <c r="O385" t="n" s="7">
        <v>44926.0</v>
      </c>
      <c r="P385" t="s" s="1">
        <v>3259</v>
      </c>
    </row>
    <row r="386" spans="1:16">
      <c r="A386" t="n" s="4">
        <v>382</v>
      </c>
      <c r="B386" s="2">
        <f>HYPERLINK("https://my.zakupki.prom.ua/remote/dispatcher/state_purchase_view/35556318", "UA-2022-03-02-002886-a")</f>
        <v/>
      </c>
      <c r="C386" t="s" s="2">
        <v>2890</v>
      </c>
      <c r="D386" s="2">
        <f>HYPERLINK("https://my.zakupki.prom.ua/remote/dispatcher/state_contracting_view/13073440", "UA-2022-03-02-002886-a-a1")</f>
        <v/>
      </c>
      <c r="E386" t="s" s="1">
        <v>1769</v>
      </c>
      <c r="F386" t="s" s="1">
        <v>2342</v>
      </c>
      <c r="G386" t="s" s="1">
        <v>3231</v>
      </c>
      <c r="H386" t="s" s="1">
        <v>638</v>
      </c>
      <c r="I386" t="s" s="1">
        <v>2017</v>
      </c>
      <c r="J386" t="s" s="1">
        <v>3113</v>
      </c>
      <c r="K386" t="s" s="1">
        <v>398</v>
      </c>
      <c r="L386" t="s" s="1">
        <v>142</v>
      </c>
      <c r="M386" t="n" s="5">
        <v>9757.81</v>
      </c>
      <c r="N386" t="n" s="7">
        <v>44622.0</v>
      </c>
      <c r="O386" t="n" s="7">
        <v>44926.0</v>
      </c>
      <c r="P386" t="s" s="1">
        <v>3259</v>
      </c>
    </row>
    <row r="387" spans="1:16">
      <c r="A387" t="n" s="4">
        <v>383</v>
      </c>
      <c r="B387" s="2">
        <f>HYPERLINK("https://my.zakupki.prom.ua/remote/dispatcher/state_purchase_view/35533305", "UA-2022-02-28-002630-a")</f>
        <v/>
      </c>
      <c r="C387" t="s" s="2">
        <v>2890</v>
      </c>
      <c r="D387" s="2">
        <f>HYPERLINK("https://my.zakupki.prom.ua/remote/dispatcher/state_contracting_view/13060689", "UA-2022-02-28-002630-a-a1")</f>
        <v/>
      </c>
      <c r="E387" t="s" s="1">
        <v>1401</v>
      </c>
      <c r="F387" t="s" s="1">
        <v>2416</v>
      </c>
      <c r="G387" t="s" s="1">
        <v>2894</v>
      </c>
      <c r="H387" t="s" s="1">
        <v>650</v>
      </c>
      <c r="I387" t="s" s="1">
        <v>2017</v>
      </c>
      <c r="J387" t="s" s="1">
        <v>2921</v>
      </c>
      <c r="K387" t="s" s="1">
        <v>571</v>
      </c>
      <c r="L387" t="s" s="1">
        <v>133</v>
      </c>
      <c r="M387" t="n" s="5">
        <v>57.15</v>
      </c>
      <c r="N387" t="n" s="7">
        <v>44617.0</v>
      </c>
      <c r="O387" t="n" s="7">
        <v>44926.0</v>
      </c>
      <c r="P387" t="s" s="1">
        <v>3259</v>
      </c>
    </row>
    <row r="388" spans="1:16">
      <c r="A388" t="n" s="4">
        <v>384</v>
      </c>
      <c r="B388" s="2">
        <f>HYPERLINK("https://my.zakupki.prom.ua/remote/dispatcher/state_purchase_view/34277956", "UA-2022-01-21-001326-b")</f>
        <v/>
      </c>
      <c r="C388" t="s" s="2">
        <v>2890</v>
      </c>
      <c r="D388" s="2">
        <f>HYPERLINK("https://my.zakupki.prom.ua/remote/dispatcher/state_contracting_view/12473410", "UA-2022-01-21-001326-b-b1")</f>
        <v/>
      </c>
      <c r="E388" t="s" s="1">
        <v>1723</v>
      </c>
      <c r="F388" t="s" s="1">
        <v>2236</v>
      </c>
      <c r="G388" t="s" s="1">
        <v>2236</v>
      </c>
      <c r="H388" t="s" s="1">
        <v>370</v>
      </c>
      <c r="I388" t="s" s="1">
        <v>2017</v>
      </c>
      <c r="J388" t="s" s="1">
        <v>1947</v>
      </c>
      <c r="K388" t="s" s="1">
        <v>306</v>
      </c>
      <c r="L388" t="s" s="1">
        <v>382</v>
      </c>
      <c r="M388" t="n" s="5">
        <v>2880.0</v>
      </c>
      <c r="N388" t="n" s="7">
        <v>44581.0</v>
      </c>
      <c r="O388" t="n" s="7">
        <v>44926.0</v>
      </c>
      <c r="P388" t="s" s="1">
        <v>3259</v>
      </c>
    </row>
    <row r="389" spans="1:16">
      <c r="A389" t="n" s="4">
        <v>385</v>
      </c>
      <c r="B389" s="2">
        <f>HYPERLINK("https://my.zakupki.prom.ua/remote/dispatcher/state_purchase_view/34909804", "UA-2022-02-07-012784-b")</f>
        <v/>
      </c>
      <c r="C389" t="s" s="2">
        <v>2890</v>
      </c>
      <c r="D389" s="2">
        <f>HYPERLINK("https://my.zakupki.prom.ua/remote/dispatcher/state_contracting_view/12768466", "UA-2022-02-07-012784-b-b1")</f>
        <v/>
      </c>
      <c r="E389" t="s" s="1">
        <v>1763</v>
      </c>
      <c r="F389" t="s" s="1">
        <v>2351</v>
      </c>
      <c r="G389" t="s" s="1">
        <v>2351</v>
      </c>
      <c r="H389" t="s" s="1">
        <v>638</v>
      </c>
      <c r="I389" t="s" s="1">
        <v>2017</v>
      </c>
      <c r="J389" t="s" s="1">
        <v>3100</v>
      </c>
      <c r="K389" t="s" s="1">
        <v>652</v>
      </c>
      <c r="L389" t="s" s="1">
        <v>703</v>
      </c>
      <c r="M389" t="n" s="5">
        <v>22950.0</v>
      </c>
      <c r="N389" t="n" s="7">
        <v>44599.0</v>
      </c>
      <c r="O389" t="n" s="7">
        <v>44926.0</v>
      </c>
      <c r="P389" t="s" s="1">
        <v>3259</v>
      </c>
    </row>
    <row r="390" spans="1:16">
      <c r="A390" t="n" s="4">
        <v>386</v>
      </c>
      <c r="B390" s="2">
        <f>HYPERLINK("https://my.zakupki.prom.ua/remote/dispatcher/state_purchase_view/35623151", "UA-2022-03-11-001357-a")</f>
        <v/>
      </c>
      <c r="C390" t="s" s="2">
        <v>2890</v>
      </c>
      <c r="D390" s="2">
        <f>HYPERLINK("https://my.zakupki.prom.ua/remote/dispatcher/state_contracting_view/13109345", "UA-2022-03-11-001357-a-a1")</f>
        <v/>
      </c>
      <c r="E390" t="s" s="1">
        <v>961</v>
      </c>
      <c r="F390" t="s" s="1">
        <v>2405</v>
      </c>
      <c r="G390" t="s" s="1">
        <v>1956</v>
      </c>
      <c r="H390" t="s" s="1">
        <v>650</v>
      </c>
      <c r="I390" t="s" s="1">
        <v>2017</v>
      </c>
      <c r="J390" t="s" s="1">
        <v>3124</v>
      </c>
      <c r="K390" t="s" s="1">
        <v>337</v>
      </c>
      <c r="L390" t="s" s="1">
        <v>219</v>
      </c>
      <c r="M390" t="n" s="5">
        <v>35010.0</v>
      </c>
      <c r="N390" t="n" s="7">
        <v>44630.0</v>
      </c>
      <c r="O390" t="n" s="7">
        <v>44926.0</v>
      </c>
      <c r="P390" t="s" s="1">
        <v>3259</v>
      </c>
    </row>
    <row r="391" spans="1:16">
      <c r="A391" t="n" s="4">
        <v>387</v>
      </c>
      <c r="B391" s="2">
        <f>HYPERLINK("https://my.zakupki.prom.ua/remote/dispatcher/state_purchase_view/35434844", "UA-2022-02-22-011169-b")</f>
        <v/>
      </c>
      <c r="C391" t="s" s="2">
        <v>2890</v>
      </c>
      <c r="D391" s="2">
        <f>HYPERLINK("https://my.zakupki.prom.ua/remote/dispatcher/state_contracting_view/13140089", "UA-2022-02-22-011169-b-a1")</f>
        <v/>
      </c>
      <c r="E391" t="s" s="1">
        <v>1816</v>
      </c>
      <c r="F391" t="s" s="1">
        <v>2193</v>
      </c>
      <c r="G391" t="s" s="1">
        <v>2193</v>
      </c>
      <c r="H391" t="s" s="1">
        <v>182</v>
      </c>
      <c r="I391" t="s" s="1">
        <v>3022</v>
      </c>
      <c r="J391" t="s" s="1">
        <v>3194</v>
      </c>
      <c r="K391" t="s" s="1">
        <v>671</v>
      </c>
      <c r="L391" t="s" s="1">
        <v>220</v>
      </c>
      <c r="M391" t="n" s="5">
        <v>70400.0</v>
      </c>
      <c r="N391" t="n" s="7">
        <v>44637.0</v>
      </c>
      <c r="O391" t="n" s="7">
        <v>44926.0</v>
      </c>
      <c r="P391" t="s" s="1">
        <v>3259</v>
      </c>
    </row>
    <row r="392" spans="1:16">
      <c r="A392" t="n" s="4">
        <v>388</v>
      </c>
      <c r="B392" s="2">
        <f>HYPERLINK("https://my.zakupki.prom.ua/remote/dispatcher/state_purchase_view/35667477", "UA-2022-03-16-002801-a")</f>
        <v/>
      </c>
      <c r="C392" t="s" s="2">
        <v>2890</v>
      </c>
      <c r="D392" s="2">
        <f>HYPERLINK("https://my.zakupki.prom.ua/remote/dispatcher/state_contracting_view/13133213", "UA-2022-03-16-002801-a-a1")</f>
        <v/>
      </c>
      <c r="E392" t="s" s="1">
        <v>1628</v>
      </c>
      <c r="F392" t="s" s="1">
        <v>2280</v>
      </c>
      <c r="G392" t="s" s="1">
        <v>2280</v>
      </c>
      <c r="H392" t="s" s="1">
        <v>549</v>
      </c>
      <c r="I392" t="s" s="1">
        <v>2017</v>
      </c>
      <c r="J392" t="s" s="1">
        <v>1950</v>
      </c>
      <c r="K392" t="s" s="1">
        <v>676</v>
      </c>
      <c r="L392" t="s" s="1">
        <v>152</v>
      </c>
      <c r="M392" t="n" s="5">
        <v>17940.0</v>
      </c>
      <c r="N392" t="n" s="7">
        <v>44636.0</v>
      </c>
      <c r="O392" t="n" s="7">
        <v>44926.0</v>
      </c>
      <c r="P392" t="s" s="1">
        <v>3259</v>
      </c>
    </row>
    <row r="393" spans="1:16">
      <c r="A393" t="n" s="4">
        <v>389</v>
      </c>
      <c r="B393" s="2">
        <f>HYPERLINK("https://my.zakupki.prom.ua/remote/dispatcher/state_purchase_view/35737309", "UA-2022-03-24-000692-b")</f>
        <v/>
      </c>
      <c r="C393" t="s" s="2">
        <v>2890</v>
      </c>
      <c r="D393" s="2">
        <f>HYPERLINK("https://my.zakupki.prom.ua/remote/dispatcher/state_contracting_view/13170620", "UA-2022-03-24-000692-b-b1")</f>
        <v/>
      </c>
      <c r="E393" t="s" s="1">
        <v>455</v>
      </c>
      <c r="F393" t="s" s="1">
        <v>2580</v>
      </c>
      <c r="G393" t="s" s="1">
        <v>2580</v>
      </c>
      <c r="H393" t="s" s="1">
        <v>903</v>
      </c>
      <c r="I393" t="s" s="1">
        <v>2017</v>
      </c>
      <c r="J393" t="s" s="1">
        <v>1952</v>
      </c>
      <c r="K393" t="s" s="1">
        <v>540</v>
      </c>
      <c r="L393" t="s" s="1">
        <v>253</v>
      </c>
      <c r="M393" t="n" s="5">
        <v>1875.98</v>
      </c>
      <c r="N393" t="n" s="7">
        <v>44644.0</v>
      </c>
      <c r="O393" t="n" s="7">
        <v>44926.0</v>
      </c>
      <c r="P393" t="s" s="1">
        <v>3259</v>
      </c>
    </row>
    <row r="394" spans="1:16">
      <c r="A394" t="n" s="4">
        <v>390</v>
      </c>
      <c r="B394" s="2">
        <f>HYPERLINK("https://my.zakupki.prom.ua/remote/dispatcher/state_purchase_view/36748137", "UA-2022-07-20-006484-a")</f>
        <v/>
      </c>
      <c r="C394" t="s" s="2">
        <v>2890</v>
      </c>
      <c r="D394" s="2">
        <f>HYPERLINK("https://my.zakupki.prom.ua/remote/dispatcher/state_contracting_view/13680602", "UA-2022-07-20-006484-a-b1")</f>
        <v/>
      </c>
      <c r="E394" t="s" s="1">
        <v>523</v>
      </c>
      <c r="F394" t="s" s="1">
        <v>2310</v>
      </c>
      <c r="G394" t="s" s="1">
        <v>2856</v>
      </c>
      <c r="H394" t="s" s="1">
        <v>584</v>
      </c>
      <c r="I394" t="s" s="1">
        <v>2017</v>
      </c>
      <c r="J394" t="s" s="1">
        <v>2904</v>
      </c>
      <c r="K394" t="s" s="1">
        <v>688</v>
      </c>
      <c r="L394" t="s" s="1">
        <v>854</v>
      </c>
      <c r="M394" t="n" s="5">
        <v>517.5</v>
      </c>
      <c r="N394" t="n" s="7">
        <v>44762.0</v>
      </c>
      <c r="O394" t="n" s="7">
        <v>44926.0</v>
      </c>
      <c r="P394" t="s" s="1">
        <v>3259</v>
      </c>
    </row>
    <row r="395" spans="1:16">
      <c r="A395" t="n" s="4">
        <v>391</v>
      </c>
      <c r="B395" s="2">
        <f>HYPERLINK("https://my.zakupki.prom.ua/remote/dispatcher/state_purchase_view/36748266", "UA-2022-07-20-006586-a")</f>
        <v/>
      </c>
      <c r="C395" t="s" s="2">
        <v>2890</v>
      </c>
      <c r="D395" s="2">
        <f>HYPERLINK("https://my.zakupki.prom.ua/remote/dispatcher/state_contracting_view/13681619", "UA-2022-07-20-006586-a-b1")</f>
        <v/>
      </c>
      <c r="E395" t="s" s="1">
        <v>1772</v>
      </c>
      <c r="F395" t="s" s="1">
        <v>2505</v>
      </c>
      <c r="G395" t="s" s="1">
        <v>2930</v>
      </c>
      <c r="H395" t="s" s="1">
        <v>669</v>
      </c>
      <c r="I395" t="s" s="1">
        <v>2017</v>
      </c>
      <c r="J395" t="s" s="1">
        <v>2904</v>
      </c>
      <c r="K395" t="s" s="1">
        <v>688</v>
      </c>
      <c r="L395" t="s" s="1">
        <v>858</v>
      </c>
      <c r="M395" t="n" s="5">
        <v>600.0</v>
      </c>
      <c r="N395" t="n" s="7">
        <v>44762.0</v>
      </c>
      <c r="O395" t="n" s="7">
        <v>44926.0</v>
      </c>
      <c r="P395" t="s" s="1">
        <v>3259</v>
      </c>
    </row>
    <row r="396" spans="1:16">
      <c r="A396" t="n" s="4">
        <v>392</v>
      </c>
      <c r="B396" s="2">
        <f>HYPERLINK("https://my.zakupki.prom.ua/remote/dispatcher/state_purchase_view/36752785", "UA-2022-07-21-000290-a")</f>
        <v/>
      </c>
      <c r="C396" t="s" s="2">
        <v>2890</v>
      </c>
      <c r="D396" s="2">
        <f>HYPERLINK("https://my.zakupki.prom.ua/remote/dispatcher/state_contracting_view/13682815", "UA-2022-07-21-000290-a-b1")</f>
        <v/>
      </c>
      <c r="E396" t="s" s="1">
        <v>1662</v>
      </c>
      <c r="F396" t="s" s="1">
        <v>2302</v>
      </c>
      <c r="G396" t="s" s="1">
        <v>1547</v>
      </c>
      <c r="H396" t="s" s="1">
        <v>582</v>
      </c>
      <c r="I396" t="s" s="1">
        <v>2017</v>
      </c>
      <c r="J396" t="s" s="1">
        <v>2904</v>
      </c>
      <c r="K396" t="s" s="1">
        <v>688</v>
      </c>
      <c r="L396" t="s" s="1">
        <v>868</v>
      </c>
      <c r="M396" t="n" s="5">
        <v>940.24</v>
      </c>
      <c r="N396" t="n" s="7">
        <v>44762.0</v>
      </c>
      <c r="O396" t="n" s="7">
        <v>44926.0</v>
      </c>
      <c r="P396" t="s" s="1">
        <v>3259</v>
      </c>
    </row>
    <row r="397" spans="1:16">
      <c r="A397" t="n" s="4">
        <v>393</v>
      </c>
      <c r="B397" s="2">
        <f>HYPERLINK("https://my.zakupki.prom.ua/remote/dispatcher/state_purchase_view/37882209", "UA-2022-10-07-005513-a")</f>
        <v/>
      </c>
      <c r="C397" t="s" s="2">
        <v>2890</v>
      </c>
      <c r="D397" s="2">
        <f>HYPERLINK("https://my.zakupki.prom.ua/remote/dispatcher/state_contracting_view/14229222", "UA-2022-10-07-005513-a-c1")</f>
        <v/>
      </c>
      <c r="E397" t="s" s="1">
        <v>1441</v>
      </c>
      <c r="F397" t="s" s="1">
        <v>2777</v>
      </c>
      <c r="G397" t="s" s="1">
        <v>2815</v>
      </c>
      <c r="H397" t="s" s="1">
        <v>1445</v>
      </c>
      <c r="I397" t="s" s="1">
        <v>2017</v>
      </c>
      <c r="J397" t="s" s="1">
        <v>2038</v>
      </c>
      <c r="K397" t="s" s="1">
        <v>17</v>
      </c>
      <c r="L397" t="s" s="1">
        <v>1112</v>
      </c>
      <c r="M397" t="n" s="5">
        <v>4661.73</v>
      </c>
      <c r="N397" t="n" s="7">
        <v>44841.0</v>
      </c>
      <c r="O397" t="n" s="7">
        <v>44926.0</v>
      </c>
      <c r="P397" t="s" s="1">
        <v>3259</v>
      </c>
    </row>
    <row r="398" spans="1:16">
      <c r="A398" t="n" s="4">
        <v>394</v>
      </c>
      <c r="B398" s="2">
        <f>HYPERLINK("https://my.zakupki.prom.ua/remote/dispatcher/state_purchase_view/37856361", "UA-2022-10-06-004662-a")</f>
        <v/>
      </c>
      <c r="C398" t="s" s="2">
        <v>2890</v>
      </c>
      <c r="D398" s="2">
        <f>HYPERLINK("https://my.zakupki.prom.ua/remote/dispatcher/state_contracting_view/14217477", "UA-2022-10-06-004662-a-b1")</f>
        <v/>
      </c>
      <c r="E398" t="s" s="1">
        <v>1854</v>
      </c>
      <c r="F398" t="s" s="1">
        <v>2296</v>
      </c>
      <c r="G398" t="s" s="1">
        <v>1887</v>
      </c>
      <c r="H398" t="s" s="1">
        <v>579</v>
      </c>
      <c r="I398" t="s" s="1">
        <v>2017</v>
      </c>
      <c r="J398" t="s" s="1">
        <v>3095</v>
      </c>
      <c r="K398" t="s" s="1">
        <v>927</v>
      </c>
      <c r="L398" t="s" s="1">
        <v>1104</v>
      </c>
      <c r="M398" t="n" s="5">
        <v>2250.0</v>
      </c>
      <c r="N398" t="n" s="7">
        <v>44839.0</v>
      </c>
      <c r="O398" t="n" s="7">
        <v>44926.0</v>
      </c>
      <c r="P398" t="s" s="1">
        <v>3259</v>
      </c>
    </row>
    <row r="399" spans="1:16">
      <c r="A399" t="n" s="4">
        <v>395</v>
      </c>
      <c r="B399" s="2">
        <f>HYPERLINK("https://my.zakupki.prom.ua/remote/dispatcher/state_purchase_view/38561709", "UA-2022-11-15-001412-a")</f>
        <v/>
      </c>
      <c r="C399" t="s" s="2">
        <v>2890</v>
      </c>
      <c r="D399" s="2">
        <f>HYPERLINK("https://my.zakupki.prom.ua/remote/dispatcher/state_contracting_view/14558901", "UA-2022-11-15-001412-a-c1")</f>
        <v/>
      </c>
      <c r="E399" t="s" s="1">
        <v>10</v>
      </c>
      <c r="F399" t="s" s="1">
        <v>2139</v>
      </c>
      <c r="G399" t="s" s="1">
        <v>1964</v>
      </c>
      <c r="H399" t="s" s="1">
        <v>638</v>
      </c>
      <c r="I399" t="s" s="1">
        <v>2017</v>
      </c>
      <c r="J399" t="s" s="1">
        <v>3125</v>
      </c>
      <c r="K399" t="s" s="1">
        <v>690</v>
      </c>
      <c r="L399" t="s" s="1">
        <v>1222</v>
      </c>
      <c r="M399" t="n" s="5">
        <v>834.6</v>
      </c>
      <c r="N399" t="n" s="7">
        <v>44879.0</v>
      </c>
      <c r="O399" t="n" s="7">
        <v>44926.0</v>
      </c>
      <c r="P399" t="s" s="1">
        <v>3259</v>
      </c>
    </row>
    <row r="400" spans="1:16">
      <c r="A400" t="n" s="4">
        <v>396</v>
      </c>
      <c r="B400" s="2">
        <f>HYPERLINK("https://my.zakupki.prom.ua/remote/dispatcher/state_purchase_view/38258732", "UA-2022-10-31-008750-a")</f>
        <v/>
      </c>
      <c r="C400" s="2">
        <f>HYPERLINK("https://my.zakupki.prom.ua/remote/dispatcher/state_purchase_lot_view/774846", "UA-2022-10-31-008750-a-L774846")</f>
        <v/>
      </c>
      <c r="D400" s="2">
        <f>HYPERLINK("https://my.zakupki.prom.ua/remote/dispatcher/state_contracting_view/14559837", "UA-2022-10-31-008750-a-a1")</f>
        <v/>
      </c>
      <c r="E400" t="s" s="1">
        <v>1450</v>
      </c>
      <c r="F400" t="s" s="1">
        <v>2100</v>
      </c>
      <c r="G400" t="s" s="1">
        <v>2031</v>
      </c>
      <c r="H400" t="s" s="1">
        <v>650</v>
      </c>
      <c r="I400" t="s" s="1">
        <v>1934</v>
      </c>
      <c r="J400" t="s" s="1">
        <v>3070</v>
      </c>
      <c r="K400" t="s" s="1">
        <v>337</v>
      </c>
      <c r="L400" t="s" s="1">
        <v>503</v>
      </c>
      <c r="M400" t="n" s="5">
        <v>206253.24</v>
      </c>
      <c r="N400" t="n" s="7">
        <v>44880.0</v>
      </c>
      <c r="O400" t="n" s="7">
        <v>44926.0</v>
      </c>
      <c r="P400" t="s" s="1">
        <v>3259</v>
      </c>
    </row>
    <row r="401" spans="1:16">
      <c r="A401" t="n" s="4">
        <v>397</v>
      </c>
      <c r="B401" s="2">
        <f>HYPERLINK("https://my.zakupki.prom.ua/remote/dispatcher/state_purchase_view/39147007", "UA-2022-12-08-008149-a")</f>
        <v/>
      </c>
      <c r="C401" t="s" s="2">
        <v>2890</v>
      </c>
      <c r="D401" s="2">
        <f>HYPERLINK("https://my.zakupki.prom.ua/remote/dispatcher/state_contracting_view/14827699", "UA-2022-12-08-008149-a-c1")</f>
        <v/>
      </c>
      <c r="E401" t="s" s="1">
        <v>1834</v>
      </c>
      <c r="F401" t="s" s="1">
        <v>2546</v>
      </c>
      <c r="G401" t="s" s="1">
        <v>2055</v>
      </c>
      <c r="H401" t="s" s="1">
        <v>790</v>
      </c>
      <c r="I401" t="s" s="1">
        <v>2017</v>
      </c>
      <c r="J401" t="s" s="1">
        <v>2879</v>
      </c>
      <c r="K401" t="s" s="1">
        <v>458</v>
      </c>
      <c r="L401" t="s" s="1">
        <v>1276</v>
      </c>
      <c r="M401" t="n" s="5">
        <v>33650.0</v>
      </c>
      <c r="N401" t="n" s="7">
        <v>44903.0</v>
      </c>
      <c r="O401" t="n" s="7">
        <v>44926.0</v>
      </c>
      <c r="P401" t="s" s="1">
        <v>3259</v>
      </c>
    </row>
    <row r="402" spans="1:16">
      <c r="A402" t="n" s="4">
        <v>398</v>
      </c>
      <c r="B402" s="2">
        <f>HYPERLINK("https://my.zakupki.prom.ua/remote/dispatcher/state_purchase_view/39743994", "UA-2022-12-26-010388-a")</f>
        <v/>
      </c>
      <c r="C402" t="s" s="2">
        <v>2890</v>
      </c>
      <c r="D402" s="2">
        <f>HYPERLINK("https://my.zakupki.prom.ua/remote/dispatcher/state_contracting_view/15111650", "UA-2022-12-26-010388-a-a1")</f>
        <v/>
      </c>
      <c r="E402" t="s" s="1">
        <v>1141</v>
      </c>
      <c r="F402" t="s" s="1">
        <v>2541</v>
      </c>
      <c r="G402" t="s" s="1">
        <v>2064</v>
      </c>
      <c r="H402" t="s" s="1">
        <v>785</v>
      </c>
      <c r="I402" t="s" s="1">
        <v>2017</v>
      </c>
      <c r="J402" t="s" s="1">
        <v>2929</v>
      </c>
      <c r="K402" t="s" s="1">
        <v>688</v>
      </c>
      <c r="L402" t="s" s="1">
        <v>1359</v>
      </c>
      <c r="M402" t="n" s="5">
        <v>1200.0</v>
      </c>
      <c r="N402" t="n" s="7">
        <v>44921.0</v>
      </c>
      <c r="O402" t="n" s="7">
        <v>44926.0</v>
      </c>
      <c r="P402" t="s" s="1">
        <v>3259</v>
      </c>
    </row>
    <row r="403" spans="1:16">
      <c r="A403" t="n" s="4">
        <v>399</v>
      </c>
      <c r="B403" s="2">
        <f>HYPERLINK("https://my.zakupki.prom.ua/remote/dispatcher/state_purchase_view/35807189", "UA-2022-04-01-000796-b")</f>
        <v/>
      </c>
      <c r="C403" t="s" s="2">
        <v>2890</v>
      </c>
      <c r="D403" s="2">
        <f>HYPERLINK("https://my.zakupki.prom.ua/remote/dispatcher/state_contracting_view/13208456", "UA-2022-04-01-000796-b-b1")</f>
        <v/>
      </c>
      <c r="E403" t="s" s="1">
        <v>1414</v>
      </c>
      <c r="F403" t="s" s="1">
        <v>2519</v>
      </c>
      <c r="G403" t="s" s="1">
        <v>3292</v>
      </c>
      <c r="H403" t="s" s="1">
        <v>768</v>
      </c>
      <c r="I403" t="s" s="1">
        <v>2017</v>
      </c>
      <c r="J403" t="s" s="1">
        <v>2045</v>
      </c>
      <c r="K403" t="s" s="1">
        <v>562</v>
      </c>
      <c r="L403" t="s" s="1">
        <v>6</v>
      </c>
      <c r="M403" t="n" s="5">
        <v>41175.0</v>
      </c>
      <c r="N403" t="n" s="7">
        <v>44652.0</v>
      </c>
      <c r="O403" t="n" s="7">
        <v>44926.0</v>
      </c>
      <c r="P403" t="s" s="1">
        <v>3259</v>
      </c>
    </row>
    <row r="404" spans="1:16">
      <c r="A404" t="n" s="4">
        <v>400</v>
      </c>
      <c r="B404" s="2">
        <f>HYPERLINK("https://my.zakupki.prom.ua/remote/dispatcher/state_purchase_view/38151036", "UA-2022-10-25-006812-a")</f>
        <v/>
      </c>
      <c r="C404" t="s" s="2">
        <v>2890</v>
      </c>
      <c r="D404" s="2">
        <f>HYPERLINK("https://my.zakupki.prom.ua/remote/dispatcher/state_contracting_view/14366606", "UA-2022-10-25-006812-a-b1")</f>
        <v/>
      </c>
      <c r="E404" t="s" s="1">
        <v>1603</v>
      </c>
      <c r="F404" t="s" s="1">
        <v>2299</v>
      </c>
      <c r="G404" t="s" s="1">
        <v>3266</v>
      </c>
      <c r="H404" t="s" s="1">
        <v>582</v>
      </c>
      <c r="I404" t="s" s="1">
        <v>2017</v>
      </c>
      <c r="J404" t="s" s="1">
        <v>1927</v>
      </c>
      <c r="K404" t="s" s="1">
        <v>320</v>
      </c>
      <c r="L404" t="s" s="1">
        <v>1173</v>
      </c>
      <c r="M404" t="n" s="5">
        <v>730.0</v>
      </c>
      <c r="N404" t="n" s="7">
        <v>44859.0</v>
      </c>
      <c r="O404" t="n" s="7">
        <v>44926.0</v>
      </c>
      <c r="P404" t="s" s="1">
        <v>3259</v>
      </c>
    </row>
    <row r="405" spans="1:16">
      <c r="A405" t="n" s="4">
        <v>401</v>
      </c>
      <c r="B405" s="2">
        <f>HYPERLINK("https://my.zakupki.prom.ua/remote/dispatcher/state_purchase_view/39030673", "UA-2022-12-05-010922-a")</f>
        <v/>
      </c>
      <c r="C405" t="s" s="2">
        <v>2890</v>
      </c>
      <c r="D405" s="2">
        <f>HYPERLINK("https://my.zakupki.prom.ua/remote/dispatcher/state_contracting_view/14774477", "UA-2022-12-05-010922-a-c1")</f>
        <v/>
      </c>
      <c r="E405" t="s" s="1">
        <v>812</v>
      </c>
      <c r="F405" t="s" s="1">
        <v>2667</v>
      </c>
      <c r="G405" t="s" s="1">
        <v>2020</v>
      </c>
      <c r="H405" t="s" s="1">
        <v>1024</v>
      </c>
      <c r="I405" t="s" s="1">
        <v>2017</v>
      </c>
      <c r="J405" t="s" s="1">
        <v>2859</v>
      </c>
      <c r="K405" t="s" s="1">
        <v>541</v>
      </c>
      <c r="L405" t="s" s="1">
        <v>1263</v>
      </c>
      <c r="M405" t="n" s="5">
        <v>240.0</v>
      </c>
      <c r="N405" t="n" s="7">
        <v>44900.0</v>
      </c>
      <c r="O405" t="n" s="7">
        <v>44926.0</v>
      </c>
      <c r="P405" t="s" s="1">
        <v>3259</v>
      </c>
    </row>
    <row r="406" spans="1:16">
      <c r="A406" t="n" s="4">
        <v>402</v>
      </c>
      <c r="B406" s="2">
        <f>HYPERLINK("https://my.zakupki.prom.ua/remote/dispatcher/state_purchase_view/37957457", "UA-2022-10-13-004452-a")</f>
        <v/>
      </c>
      <c r="C406" t="s" s="2">
        <v>2890</v>
      </c>
      <c r="D406" s="2">
        <f>HYPERLINK("https://my.zakupki.prom.ua/remote/dispatcher/state_contracting_view/14265978", "UA-2022-10-13-004452-a-b1")</f>
        <v/>
      </c>
      <c r="E406" t="s" s="1">
        <v>1565</v>
      </c>
      <c r="F406" t="s" s="1">
        <v>2229</v>
      </c>
      <c r="G406" t="s" s="1">
        <v>2229</v>
      </c>
      <c r="H406" t="s" s="1">
        <v>273</v>
      </c>
      <c r="I406" t="s" s="1">
        <v>2017</v>
      </c>
      <c r="J406" t="s" s="1">
        <v>1951</v>
      </c>
      <c r="K406" t="s" s="1">
        <v>560</v>
      </c>
      <c r="L406" t="s" s="1">
        <v>1122</v>
      </c>
      <c r="M406" t="n" s="5">
        <v>990.0</v>
      </c>
      <c r="N406" t="n" s="7">
        <v>44847.0</v>
      </c>
      <c r="O406" t="n" s="7">
        <v>44926.0</v>
      </c>
      <c r="P406" t="s" s="1">
        <v>3259</v>
      </c>
    </row>
    <row r="407" spans="1:16">
      <c r="A407" t="n" s="4">
        <v>403</v>
      </c>
      <c r="B407" s="2">
        <f>HYPERLINK("https://my.zakupki.prom.ua/remote/dispatcher/state_purchase_view/36894422", "UA-2022-08-02-007116-a")</f>
        <v/>
      </c>
      <c r="C407" t="s" s="2">
        <v>2890</v>
      </c>
      <c r="D407" s="2">
        <f>HYPERLINK("https://my.zakupki.prom.ua/remote/dispatcher/state_contracting_view/13749429", "UA-2022-08-02-007116-a-b1")</f>
        <v/>
      </c>
      <c r="E407" t="s" s="1">
        <v>1703</v>
      </c>
      <c r="F407" t="s" s="1">
        <v>2116</v>
      </c>
      <c r="G407" t="s" s="1">
        <v>1981</v>
      </c>
      <c r="H407" t="s" s="1">
        <v>875</v>
      </c>
      <c r="I407" t="s" s="1">
        <v>2017</v>
      </c>
      <c r="J407" t="s" s="1">
        <v>2016</v>
      </c>
      <c r="K407" t="s" s="1">
        <v>474</v>
      </c>
      <c r="L407" t="s" s="1">
        <v>947</v>
      </c>
      <c r="M407" t="n" s="5">
        <v>9192.0</v>
      </c>
      <c r="N407" t="n" s="7">
        <v>44775.0</v>
      </c>
      <c r="O407" t="n" s="7">
        <v>44926.0</v>
      </c>
      <c r="P407" t="s" s="1">
        <v>3259</v>
      </c>
    </row>
    <row r="408" spans="1:16">
      <c r="A408" t="n" s="4">
        <v>404</v>
      </c>
      <c r="B408" s="2">
        <f>HYPERLINK("https://my.zakupki.prom.ua/remote/dispatcher/state_purchase_view/36969792", "UA-2022-08-08-006022-a")</f>
        <v/>
      </c>
      <c r="C408" t="s" s="2">
        <v>2890</v>
      </c>
      <c r="D408" s="2">
        <f>HYPERLINK("https://my.zakupki.prom.ua/remote/dispatcher/state_contracting_view/13785199", "UA-2022-08-08-006022-a-b1")</f>
        <v/>
      </c>
      <c r="E408" t="s" s="1">
        <v>1532</v>
      </c>
      <c r="F408" t="s" s="1">
        <v>2665</v>
      </c>
      <c r="G408" t="s" s="1">
        <v>2665</v>
      </c>
      <c r="H408" t="s" s="1">
        <v>1024</v>
      </c>
      <c r="I408" t="s" s="1">
        <v>2017</v>
      </c>
      <c r="J408" t="s" s="1">
        <v>2859</v>
      </c>
      <c r="K408" t="s" s="1">
        <v>541</v>
      </c>
      <c r="L408" t="s" s="1">
        <v>969</v>
      </c>
      <c r="M408" t="n" s="5">
        <v>1380.0</v>
      </c>
      <c r="N408" t="n" s="7">
        <v>44781.0</v>
      </c>
      <c r="O408" t="n" s="7">
        <v>44926.0</v>
      </c>
      <c r="P408" t="s" s="1">
        <v>3259</v>
      </c>
    </row>
    <row r="409" spans="1:16">
      <c r="A409" t="n" s="4">
        <v>405</v>
      </c>
      <c r="B409" s="2">
        <f>HYPERLINK("https://my.zakupki.prom.ua/remote/dispatcher/state_purchase_view/37022826", "UA-2022-08-11-003220-a")</f>
        <v/>
      </c>
      <c r="C409" t="s" s="2">
        <v>2890</v>
      </c>
      <c r="D409" s="2">
        <f>HYPERLINK("https://my.zakupki.prom.ua/remote/dispatcher/state_contracting_view/13810425", "UA-2022-08-11-003220-a-b1")</f>
        <v/>
      </c>
      <c r="E409" t="s" s="1">
        <v>1304</v>
      </c>
      <c r="F409" t="s" s="1">
        <v>2087</v>
      </c>
      <c r="G409" t="s" s="1">
        <v>2087</v>
      </c>
      <c r="H409" t="s" s="1">
        <v>273</v>
      </c>
      <c r="I409" t="s" s="1">
        <v>2017</v>
      </c>
      <c r="J409" t="s" s="1">
        <v>3125</v>
      </c>
      <c r="K409" t="s" s="1">
        <v>690</v>
      </c>
      <c r="L409" t="s" s="1">
        <v>973</v>
      </c>
      <c r="M409" t="n" s="5">
        <v>22470.0</v>
      </c>
      <c r="N409" t="n" s="7">
        <v>44783.0</v>
      </c>
      <c r="O409" t="n" s="7">
        <v>44926.0</v>
      </c>
      <c r="P409" t="s" s="1">
        <v>3259</v>
      </c>
    </row>
    <row r="410" spans="1:16">
      <c r="A410" t="n" s="4">
        <v>406</v>
      </c>
      <c r="B410" s="2">
        <f>HYPERLINK("https://my.zakupki.prom.ua/remote/dispatcher/state_purchase_view/37070709", "UA-2022-08-15-006414-a")</f>
        <v/>
      </c>
      <c r="C410" t="s" s="2">
        <v>2890</v>
      </c>
      <c r="D410" s="2">
        <f>HYPERLINK("https://my.zakupki.prom.ua/remote/dispatcher/state_contracting_view/13833213", "UA-2022-08-15-006414-a-b1")</f>
        <v/>
      </c>
      <c r="E410" t="s" s="1">
        <v>522</v>
      </c>
      <c r="F410" t="s" s="1">
        <v>2720</v>
      </c>
      <c r="G410" t="s" s="1">
        <v>2720</v>
      </c>
      <c r="H410" t="s" s="1">
        <v>1319</v>
      </c>
      <c r="I410" t="s" s="1">
        <v>2017</v>
      </c>
      <c r="J410" t="s" s="1">
        <v>2920</v>
      </c>
      <c r="K410" t="s" s="1">
        <v>366</v>
      </c>
      <c r="L410" t="s" s="1">
        <v>92</v>
      </c>
      <c r="M410" t="n" s="5">
        <v>406.0</v>
      </c>
      <c r="N410" t="n" s="7">
        <v>44788.0</v>
      </c>
      <c r="O410" t="n" s="7">
        <v>44926.0</v>
      </c>
      <c r="P410" t="s" s="1">
        <v>3259</v>
      </c>
    </row>
    <row r="411" spans="1:16">
      <c r="A411" t="n" s="4">
        <v>407</v>
      </c>
      <c r="B411" s="2">
        <f>HYPERLINK("https://my.zakupki.prom.ua/remote/dispatcher/state_purchase_view/37720448", "UA-2022-09-27-010609-a")</f>
        <v/>
      </c>
      <c r="C411" t="s" s="2">
        <v>2890</v>
      </c>
      <c r="D411" s="2">
        <f>HYPERLINK("https://my.zakupki.prom.ua/remote/dispatcher/state_contracting_view/14150251", "UA-2022-09-27-010609-a-b1")</f>
        <v/>
      </c>
      <c r="E411" t="s" s="1">
        <v>1584</v>
      </c>
      <c r="F411" t="s" s="1">
        <v>2186</v>
      </c>
      <c r="G411" t="s" s="1">
        <v>3040</v>
      </c>
      <c r="H411" t="s" s="1">
        <v>168</v>
      </c>
      <c r="I411" t="s" s="1">
        <v>2017</v>
      </c>
      <c r="J411" t="s" s="1">
        <v>1927</v>
      </c>
      <c r="K411" t="s" s="1">
        <v>320</v>
      </c>
      <c r="L411" t="s" s="1">
        <v>1092</v>
      </c>
      <c r="M411" t="n" s="5">
        <v>1400.0</v>
      </c>
      <c r="N411" t="n" s="7">
        <v>44831.0</v>
      </c>
      <c r="O411" t="n" s="7">
        <v>44926.0</v>
      </c>
      <c r="P411" t="s" s="1">
        <v>3259</v>
      </c>
    </row>
    <row r="412" spans="1:16">
      <c r="A412" t="n" s="4">
        <v>408</v>
      </c>
      <c r="B412" s="2">
        <f>HYPERLINK("https://my.zakupki.prom.ua/remote/dispatcher/state_purchase_view/36673306", "UA-2022-07-14-001271-a")</f>
        <v/>
      </c>
      <c r="C412" t="s" s="2">
        <v>2890</v>
      </c>
      <c r="D412" s="2">
        <f>HYPERLINK("https://my.zakupki.prom.ua/remote/dispatcher/state_contracting_view/13645919", "UA-2022-07-14-001271-a-b1")</f>
        <v/>
      </c>
      <c r="E412" t="s" s="1">
        <v>1517</v>
      </c>
      <c r="F412" t="s" s="1">
        <v>2209</v>
      </c>
      <c r="G412" t="s" s="1">
        <v>3037</v>
      </c>
      <c r="H412" t="s" s="1">
        <v>195</v>
      </c>
      <c r="I412" t="s" s="1">
        <v>2017</v>
      </c>
      <c r="J412" t="s" s="1">
        <v>3237</v>
      </c>
      <c r="K412" t="s" s="1">
        <v>687</v>
      </c>
      <c r="L412" t="s" s="1">
        <v>737</v>
      </c>
      <c r="M412" t="n" s="5">
        <v>1000.0</v>
      </c>
      <c r="N412" t="n" s="7">
        <v>44754.0</v>
      </c>
      <c r="O412" t="n" s="7">
        <v>44926.0</v>
      </c>
      <c r="P412" t="s" s="1">
        <v>3259</v>
      </c>
    </row>
    <row r="413" spans="1:16">
      <c r="A413" t="n" s="4">
        <v>409</v>
      </c>
      <c r="B413" s="2">
        <f>HYPERLINK("https://my.zakupki.prom.ua/remote/dispatcher/state_purchase_view/36324767", "UA-2022-06-08-005888-a")</f>
        <v/>
      </c>
      <c r="C413" t="s" s="2">
        <v>2890</v>
      </c>
      <c r="D413" s="2">
        <f>HYPERLINK("https://my.zakupki.prom.ua/remote/dispatcher/state_contracting_view/13473784", "UA-2022-06-08-005888-a-b1")</f>
        <v/>
      </c>
      <c r="E413" t="s" s="1">
        <v>1558</v>
      </c>
      <c r="F413" t="s" s="1">
        <v>2663</v>
      </c>
      <c r="G413" t="s" s="1">
        <v>2663</v>
      </c>
      <c r="H413" t="s" s="1">
        <v>1024</v>
      </c>
      <c r="I413" t="s" s="1">
        <v>2017</v>
      </c>
      <c r="J413" t="s" s="1">
        <v>2859</v>
      </c>
      <c r="K413" t="s" s="1">
        <v>541</v>
      </c>
      <c r="L413" t="s" s="1">
        <v>570</v>
      </c>
      <c r="M413" t="n" s="5">
        <v>840.0</v>
      </c>
      <c r="N413" t="n" s="7">
        <v>44720.0</v>
      </c>
      <c r="O413" t="n" s="7">
        <v>44926.0</v>
      </c>
      <c r="P413" t="s" s="1">
        <v>3259</v>
      </c>
    </row>
    <row r="414" spans="1:16">
      <c r="A414" t="n" s="4">
        <v>410</v>
      </c>
      <c r="B414" s="2">
        <f>HYPERLINK("https://my.zakupki.prom.ua/remote/dispatcher/state_purchase_view/36362894", "UA-2022-06-13-005328-a")</f>
        <v/>
      </c>
      <c r="C414" t="s" s="2">
        <v>2890</v>
      </c>
      <c r="D414" s="2">
        <f>HYPERLINK("https://my.zakupki.prom.ua/remote/dispatcher/state_contracting_view/13493093", "UA-2022-06-13-005328-a-b1")</f>
        <v/>
      </c>
      <c r="E414" t="s" s="1">
        <v>1268</v>
      </c>
      <c r="F414" t="s" s="1">
        <v>2194</v>
      </c>
      <c r="G414" t="s" s="1">
        <v>1959</v>
      </c>
      <c r="H414" t="s" s="1">
        <v>183</v>
      </c>
      <c r="I414" t="s" s="1">
        <v>2017</v>
      </c>
      <c r="J414" t="s" s="1">
        <v>2008</v>
      </c>
      <c r="K414" t="s" s="1">
        <v>671</v>
      </c>
      <c r="L414" t="s" s="1">
        <v>624</v>
      </c>
      <c r="M414" t="n" s="5">
        <v>7230.0</v>
      </c>
      <c r="N414" t="n" s="7">
        <v>44725.0</v>
      </c>
      <c r="O414" t="n" s="7">
        <v>44926.0</v>
      </c>
      <c r="P414" t="s" s="1">
        <v>3259</v>
      </c>
    </row>
    <row r="415" spans="1:16">
      <c r="A415" t="n" s="4">
        <v>411</v>
      </c>
      <c r="B415" s="2">
        <f>HYPERLINK("https://my.zakupki.prom.ua/remote/dispatcher/state_purchase_view/36166776", "UA-2022-05-19-003981-a")</f>
        <v/>
      </c>
      <c r="C415" t="s" s="2">
        <v>2890</v>
      </c>
      <c r="D415" s="2">
        <f>HYPERLINK("https://my.zakupki.prom.ua/remote/dispatcher/state_contracting_view/13392539", "UA-2022-05-19-003981-a-b1")</f>
        <v/>
      </c>
      <c r="E415" t="s" s="1">
        <v>486</v>
      </c>
      <c r="F415" t="s" s="1">
        <v>2491</v>
      </c>
      <c r="G415" t="s" s="1">
        <v>1993</v>
      </c>
      <c r="H415" t="s" s="1">
        <v>653</v>
      </c>
      <c r="I415" t="s" s="1">
        <v>2017</v>
      </c>
      <c r="J415" t="s" s="1">
        <v>3131</v>
      </c>
      <c r="K415" t="s" s="1">
        <v>743</v>
      </c>
      <c r="L415" t="s" s="1">
        <v>112</v>
      </c>
      <c r="M415" t="n" s="5">
        <v>5685.98</v>
      </c>
      <c r="N415" t="n" s="7">
        <v>44700.0</v>
      </c>
      <c r="O415" t="n" s="7">
        <v>44926.0</v>
      </c>
      <c r="P415" t="s" s="1">
        <v>3259</v>
      </c>
    </row>
    <row r="416" spans="1:16">
      <c r="A416" t="n" s="4">
        <v>412</v>
      </c>
      <c r="B416" s="2">
        <f>HYPERLINK("https://my.zakupki.prom.ua/remote/dispatcher/state_purchase_view/36224150", "UA-2022-05-27-000910-a")</f>
        <v/>
      </c>
      <c r="C416" t="s" s="2">
        <v>2890</v>
      </c>
      <c r="D416" s="2">
        <f>HYPERLINK("https://my.zakupki.prom.ua/remote/dispatcher/state_contracting_view/13421882", "UA-2022-05-27-000910-a-b1")</f>
        <v/>
      </c>
      <c r="E416" t="s" s="1">
        <v>86</v>
      </c>
      <c r="F416" t="s" s="1">
        <v>2558</v>
      </c>
      <c r="G416" t="s" s="1">
        <v>2558</v>
      </c>
      <c r="H416" t="s" s="1">
        <v>878</v>
      </c>
      <c r="I416" t="s" s="1">
        <v>2017</v>
      </c>
      <c r="J416" t="s" s="1">
        <v>1927</v>
      </c>
      <c r="K416" t="s" s="1">
        <v>320</v>
      </c>
      <c r="L416" t="s" s="1">
        <v>505</v>
      </c>
      <c r="M416" t="n" s="5">
        <v>1183.0</v>
      </c>
      <c r="N416" t="n" s="7">
        <v>44708.0</v>
      </c>
      <c r="O416" t="n" s="7">
        <v>44926.0</v>
      </c>
      <c r="P416" t="s" s="1">
        <v>3259</v>
      </c>
    </row>
    <row r="417" spans="1:16">
      <c r="A417" t="n" s="4">
        <v>413</v>
      </c>
      <c r="B417" s="2">
        <f>HYPERLINK("https://my.zakupki.prom.ua/remote/dispatcher/state_purchase_view/36224359", "UA-2022-05-27-001008-a")</f>
        <v/>
      </c>
      <c r="C417" t="s" s="2">
        <v>2890</v>
      </c>
      <c r="D417" s="2">
        <f>HYPERLINK("https://my.zakupki.prom.ua/remote/dispatcher/state_contracting_view/13421994", "UA-2022-05-27-001008-a-b1")</f>
        <v/>
      </c>
      <c r="E417" t="s" s="1">
        <v>1195</v>
      </c>
      <c r="F417" t="s" s="1">
        <v>2622</v>
      </c>
      <c r="G417" t="s" s="1">
        <v>2622</v>
      </c>
      <c r="H417" t="s" s="1">
        <v>931</v>
      </c>
      <c r="I417" t="s" s="1">
        <v>2017</v>
      </c>
      <c r="J417" t="s" s="1">
        <v>1927</v>
      </c>
      <c r="K417" t="s" s="1">
        <v>320</v>
      </c>
      <c r="L417" t="s" s="1">
        <v>509</v>
      </c>
      <c r="M417" t="n" s="5">
        <v>1755.0</v>
      </c>
      <c r="N417" t="n" s="7">
        <v>44708.0</v>
      </c>
      <c r="O417" t="n" s="7">
        <v>44926.0</v>
      </c>
      <c r="P417" t="s" s="1">
        <v>3259</v>
      </c>
    </row>
    <row r="418" spans="1:16">
      <c r="A418" t="n" s="4">
        <v>414</v>
      </c>
      <c r="B418" s="2">
        <f>HYPERLINK("https://my.zakupki.prom.ua/remote/dispatcher/state_purchase_view/36224664", "UA-2022-05-27-001187-a")</f>
        <v/>
      </c>
      <c r="C418" t="s" s="2">
        <v>2890</v>
      </c>
      <c r="D418" s="2">
        <f>HYPERLINK("https://my.zakupki.prom.ua/remote/dispatcher/state_contracting_view/13422119", "UA-2022-05-27-001187-a-b1")</f>
        <v/>
      </c>
      <c r="E418" t="s" s="1">
        <v>533</v>
      </c>
      <c r="F418" t="s" s="1">
        <v>2594</v>
      </c>
      <c r="G418" t="s" s="1">
        <v>2594</v>
      </c>
      <c r="H418" t="s" s="1">
        <v>914</v>
      </c>
      <c r="I418" t="s" s="1">
        <v>2017</v>
      </c>
      <c r="J418" t="s" s="1">
        <v>1927</v>
      </c>
      <c r="K418" t="s" s="1">
        <v>320</v>
      </c>
      <c r="L418" t="s" s="1">
        <v>515</v>
      </c>
      <c r="M418" t="n" s="5">
        <v>617.0</v>
      </c>
      <c r="N418" t="n" s="7">
        <v>44708.0</v>
      </c>
      <c r="O418" t="n" s="7">
        <v>44926.0</v>
      </c>
      <c r="P418" t="s" s="1">
        <v>3259</v>
      </c>
    </row>
    <row r="419" spans="1:16">
      <c r="A419" t="n" s="4">
        <v>415</v>
      </c>
      <c r="B419" s="2">
        <f>HYPERLINK("https://my.zakupki.prom.ua/remote/dispatcher/state_purchase_view/35855199", "UA-2022-04-07-000378-b")</f>
        <v/>
      </c>
      <c r="C419" t="s" s="2">
        <v>2890</v>
      </c>
      <c r="D419" s="2">
        <f>HYPERLINK("https://my.zakupki.prom.ua/remote/dispatcher/state_contracting_view/13232440", "UA-2022-04-07-000378-b-b1")</f>
        <v/>
      </c>
      <c r="E419" t="s" s="1">
        <v>1444</v>
      </c>
      <c r="F419" t="s" s="1">
        <v>2085</v>
      </c>
      <c r="G419" t="s" s="1">
        <v>2825</v>
      </c>
      <c r="H419" t="s" s="1">
        <v>190</v>
      </c>
      <c r="I419" t="s" s="1">
        <v>2017</v>
      </c>
      <c r="J419" t="s" s="1">
        <v>3237</v>
      </c>
      <c r="K419" t="s" s="1">
        <v>687</v>
      </c>
      <c r="L419" t="s" s="1">
        <v>332</v>
      </c>
      <c r="M419" t="n" s="5">
        <v>41912.5</v>
      </c>
      <c r="N419" t="n" s="7">
        <v>44657.0</v>
      </c>
      <c r="O419" t="n" s="7">
        <v>44926.0</v>
      </c>
      <c r="P419" t="s" s="1">
        <v>3259</v>
      </c>
    </row>
    <row r="420" spans="1:16">
      <c r="A420" t="n" s="4">
        <v>416</v>
      </c>
      <c r="B420" s="2">
        <f>HYPERLINK("https://my.zakupki.prom.ua/remote/dispatcher/state_purchase_view/35947623", "UA-2022-04-18-002424-a")</f>
        <v/>
      </c>
      <c r="C420" t="s" s="2">
        <v>2890</v>
      </c>
      <c r="D420" s="2">
        <f>HYPERLINK("https://my.zakupki.prom.ua/remote/dispatcher/state_contracting_view/13279558", "UA-2022-04-18-002424-a-a1")</f>
        <v/>
      </c>
      <c r="E420" t="s" s="1">
        <v>1626</v>
      </c>
      <c r="F420" t="s" s="1">
        <v>2578</v>
      </c>
      <c r="G420" t="s" s="1">
        <v>2578</v>
      </c>
      <c r="H420" t="s" s="1">
        <v>903</v>
      </c>
      <c r="I420" t="s" s="1">
        <v>2017</v>
      </c>
      <c r="J420" t="s" s="1">
        <v>3197</v>
      </c>
      <c r="K420" t="s" s="1">
        <v>621</v>
      </c>
      <c r="L420" t="s" s="1">
        <v>403</v>
      </c>
      <c r="M420" t="n" s="5">
        <v>5488.0</v>
      </c>
      <c r="N420" t="n" s="7">
        <v>44666.0</v>
      </c>
      <c r="O420" t="n" s="7">
        <v>44926.0</v>
      </c>
      <c r="P420" t="s" s="1">
        <v>3259</v>
      </c>
    </row>
    <row r="421" spans="1:16">
      <c r="A421" t="n" s="4">
        <v>417</v>
      </c>
      <c r="B421" s="2">
        <f>HYPERLINK("https://my.zakupki.prom.ua/remote/dispatcher/state_purchase_view/35625637", "UA-2022-03-11-002133-a")</f>
        <v/>
      </c>
      <c r="C421" t="s" s="2">
        <v>2890</v>
      </c>
      <c r="D421" s="2">
        <f>HYPERLINK("https://my.zakupki.prom.ua/remote/dispatcher/state_contracting_view/13110316", "UA-2022-03-11-002133-a-a1")</f>
        <v/>
      </c>
      <c r="E421" t="s" s="1">
        <v>1731</v>
      </c>
      <c r="F421" t="s" s="1">
        <v>2340</v>
      </c>
      <c r="G421" t="s" s="1">
        <v>2982</v>
      </c>
      <c r="H421" t="s" s="1">
        <v>638</v>
      </c>
      <c r="I421" t="s" s="1">
        <v>2017</v>
      </c>
      <c r="J421" t="s" s="1">
        <v>3113</v>
      </c>
      <c r="K421" t="s" s="1">
        <v>398</v>
      </c>
      <c r="L421" t="s" s="1">
        <v>181</v>
      </c>
      <c r="M421" t="n" s="5">
        <v>19092.0</v>
      </c>
      <c r="N421" t="n" s="7">
        <v>44630.0</v>
      </c>
      <c r="O421" t="n" s="7">
        <v>44926.0</v>
      </c>
      <c r="P421" t="s" s="1">
        <v>3259</v>
      </c>
    </row>
    <row r="422" spans="1:16">
      <c r="A422" t="n" s="4">
        <v>418</v>
      </c>
      <c r="B422" s="2">
        <f>HYPERLINK("https://my.zakupki.prom.ua/remote/dispatcher/state_purchase_view/34783106", "UA-2022-02-03-003584-b")</f>
        <v/>
      </c>
      <c r="C422" t="s" s="2">
        <v>2890</v>
      </c>
      <c r="D422" s="2">
        <f>HYPERLINK("https://my.zakupki.prom.ua/remote/dispatcher/state_contracting_view/12703753", "UA-2022-02-03-003584-b-b1")</f>
        <v/>
      </c>
      <c r="E422" t="s" s="1">
        <v>1312</v>
      </c>
      <c r="F422" t="s" s="1">
        <v>2414</v>
      </c>
      <c r="G422" t="s" s="1">
        <v>2842</v>
      </c>
      <c r="H422" t="s" s="1">
        <v>650</v>
      </c>
      <c r="I422" t="s" s="1">
        <v>2017</v>
      </c>
      <c r="J422" t="s" s="1">
        <v>3084</v>
      </c>
      <c r="K422" t="s" s="1">
        <v>720</v>
      </c>
      <c r="L422" t="s" s="1">
        <v>3184</v>
      </c>
      <c r="M422" t="n" s="5">
        <v>64500.0</v>
      </c>
      <c r="N422" t="n" s="7">
        <v>44593.0</v>
      </c>
      <c r="O422" t="n" s="7">
        <v>44926.0</v>
      </c>
      <c r="P422" t="s" s="1">
        <v>3259</v>
      </c>
    </row>
    <row r="423" spans="1:16">
      <c r="A423" t="n" s="4">
        <v>419</v>
      </c>
      <c r="B423" s="2">
        <f>HYPERLINK("https://my.zakupki.prom.ua/remote/dispatcher/state_purchase_view/34809891", "UA-2022-02-03-011343-b")</f>
        <v/>
      </c>
      <c r="C423" t="s" s="2">
        <v>2890</v>
      </c>
      <c r="D423" s="2">
        <f>HYPERLINK("https://my.zakupki.prom.ua/remote/dispatcher/state_contracting_view/12719396", "UA-2022-02-03-011343-b-b1")</f>
        <v/>
      </c>
      <c r="E423" t="s" s="1">
        <v>1822</v>
      </c>
      <c r="F423" t="s" s="1">
        <v>2734</v>
      </c>
      <c r="G423" t="s" s="1">
        <v>2734</v>
      </c>
      <c r="H423" t="s" s="1">
        <v>1330</v>
      </c>
      <c r="I423" t="s" s="1">
        <v>2017</v>
      </c>
      <c r="J423" t="s" s="1">
        <v>2919</v>
      </c>
      <c r="K423" t="s" s="1">
        <v>633</v>
      </c>
      <c r="L423" t="s" s="1">
        <v>1161</v>
      </c>
      <c r="M423" t="n" s="5">
        <v>1800.0</v>
      </c>
      <c r="N423" t="n" s="7">
        <v>44595.0</v>
      </c>
      <c r="O423" t="n" s="7">
        <v>44926.0</v>
      </c>
      <c r="P423" t="s" s="1">
        <v>3259</v>
      </c>
    </row>
    <row r="424" spans="1:16">
      <c r="A424" t="n" s="4">
        <v>420</v>
      </c>
      <c r="B424" s="2">
        <f>HYPERLINK("https://my.zakupki.prom.ua/remote/dispatcher/state_purchase_view/35196939", "UA-2022-02-15-008756-b")</f>
        <v/>
      </c>
      <c r="C424" t="s" s="2">
        <v>2890</v>
      </c>
      <c r="D424" s="2">
        <f>HYPERLINK("https://my.zakupki.prom.ua/remote/dispatcher/state_contracting_view/12902101", "UA-2022-02-15-008756-b-b1")</f>
        <v/>
      </c>
      <c r="E424" t="s" s="1">
        <v>1426</v>
      </c>
      <c r="F424" t="s" s="1">
        <v>2132</v>
      </c>
      <c r="G424" t="s" s="1">
        <v>3036</v>
      </c>
      <c r="H424" t="s" s="1">
        <v>195</v>
      </c>
      <c r="I424" t="s" s="1">
        <v>2017</v>
      </c>
      <c r="J424" t="s" s="1">
        <v>3237</v>
      </c>
      <c r="K424" t="s" s="1">
        <v>687</v>
      </c>
      <c r="L424" t="s" s="1">
        <v>1504</v>
      </c>
      <c r="M424" t="n" s="5">
        <v>20550.0</v>
      </c>
      <c r="N424" t="n" s="7">
        <v>44607.0</v>
      </c>
      <c r="O424" t="n" s="7">
        <v>44926.0</v>
      </c>
      <c r="P424" t="s" s="1">
        <v>3259</v>
      </c>
    </row>
    <row r="425" spans="1:16">
      <c r="A425" t="n" s="4">
        <v>421</v>
      </c>
      <c r="B425" s="2">
        <f>HYPERLINK("https://my.zakupki.prom.ua/remote/dispatcher/state_purchase_view/35052054", "UA-2022-02-10-008832-b")</f>
        <v/>
      </c>
      <c r="C425" t="s" s="2">
        <v>2890</v>
      </c>
      <c r="D425" s="2">
        <f>HYPERLINK("https://my.zakupki.prom.ua/remote/dispatcher/state_contracting_view/12840915", "UA-2022-02-10-008832-b-b1")</f>
        <v/>
      </c>
      <c r="E425" t="s" s="1">
        <v>696</v>
      </c>
      <c r="F425" t="s" s="1">
        <v>2401</v>
      </c>
      <c r="G425" t="s" s="1">
        <v>2401</v>
      </c>
      <c r="H425" t="s" s="1">
        <v>650</v>
      </c>
      <c r="I425" t="s" s="1">
        <v>2017</v>
      </c>
      <c r="J425" t="s" s="1">
        <v>3067</v>
      </c>
      <c r="K425" t="s" s="1">
        <v>398</v>
      </c>
      <c r="L425" t="s" s="1">
        <v>1419</v>
      </c>
      <c r="M425" t="n" s="5">
        <v>1419.4</v>
      </c>
      <c r="N425" t="n" s="7">
        <v>44602.0</v>
      </c>
      <c r="O425" t="n" s="7">
        <v>44926.0</v>
      </c>
      <c r="P425" t="s" s="1">
        <v>3259</v>
      </c>
    </row>
    <row r="426" spans="1:16">
      <c r="A426" t="n" s="4">
        <v>422</v>
      </c>
      <c r="B426" s="2">
        <f>HYPERLINK("https://my.zakupki.prom.ua/remote/dispatcher/state_purchase_view/35001977", "UA-2022-02-09-010088-b")</f>
        <v/>
      </c>
      <c r="C426" t="s" s="2">
        <v>2890</v>
      </c>
      <c r="D426" s="2">
        <f>HYPERLINK("https://my.zakupki.prom.ua/remote/dispatcher/state_contracting_view/12816161", "UA-2022-02-09-010088-b-b1")</f>
        <v/>
      </c>
      <c r="E426" t="s" s="1">
        <v>1657</v>
      </c>
      <c r="F426" t="s" s="1">
        <v>2485</v>
      </c>
      <c r="G426" t="s" s="1">
        <v>2485</v>
      </c>
      <c r="H426" t="s" s="1">
        <v>651</v>
      </c>
      <c r="I426" t="s" s="1">
        <v>2017</v>
      </c>
      <c r="J426" t="s" s="1">
        <v>1973</v>
      </c>
      <c r="K426" t="s" s="1">
        <v>422</v>
      </c>
      <c r="L426" t="s" s="1">
        <v>1396</v>
      </c>
      <c r="M426" t="n" s="5">
        <v>6500.0</v>
      </c>
      <c r="N426" t="n" s="7">
        <v>44601.0</v>
      </c>
      <c r="O426" t="n" s="7">
        <v>44926.0</v>
      </c>
      <c r="P426" t="s" s="1">
        <v>3259</v>
      </c>
    </row>
    <row r="427" spans="1:16">
      <c r="A427" t="n" s="4">
        <v>423</v>
      </c>
      <c r="B427" s="2">
        <f>HYPERLINK("https://my.zakupki.prom.ua/remote/dispatcher/state_purchase_view/35139420", "UA-2022-02-14-006094-b")</f>
        <v/>
      </c>
      <c r="C427" t="s" s="2">
        <v>2890</v>
      </c>
      <c r="D427" s="2">
        <f>HYPERLINK("https://my.zakupki.prom.ua/remote/dispatcher/state_contracting_view/12871072", "UA-2022-02-14-006094-b-b1")</f>
        <v/>
      </c>
      <c r="E427" t="s" s="1">
        <v>1708</v>
      </c>
      <c r="F427" t="s" s="1">
        <v>2756</v>
      </c>
      <c r="G427" t="s" s="1">
        <v>2756</v>
      </c>
      <c r="H427" t="s" s="1">
        <v>1443</v>
      </c>
      <c r="I427" t="s" s="1">
        <v>2017</v>
      </c>
      <c r="J427" t="s" s="1">
        <v>2040</v>
      </c>
      <c r="K427" t="s" s="1">
        <v>19</v>
      </c>
      <c r="L427" t="s" s="1">
        <v>1442</v>
      </c>
      <c r="M427" t="n" s="5">
        <v>10000.0</v>
      </c>
      <c r="N427" t="n" s="7">
        <v>44603.0</v>
      </c>
      <c r="O427" t="n" s="7">
        <v>44926.0</v>
      </c>
      <c r="P427" t="s" s="1">
        <v>3259</v>
      </c>
    </row>
    <row r="428" spans="1:16">
      <c r="A428" t="n" s="4">
        <v>424</v>
      </c>
      <c r="B428" s="2">
        <f>HYPERLINK("https://my.zakupki.prom.ua/remote/dispatcher/state_purchase_view/34512377", "UA-2022-01-27-001980-b")</f>
        <v/>
      </c>
      <c r="C428" t="s" s="2">
        <v>2890</v>
      </c>
      <c r="D428" s="2">
        <f>HYPERLINK("https://my.zakupki.prom.ua/remote/dispatcher/state_contracting_view/12577414", "UA-2022-01-27-001980-b-b1")</f>
        <v/>
      </c>
      <c r="E428" t="s" s="1">
        <v>806</v>
      </c>
      <c r="F428" t="s" s="1">
        <v>2779</v>
      </c>
      <c r="G428" t="s" s="1">
        <v>2779</v>
      </c>
      <c r="H428" t="s" s="1">
        <v>1486</v>
      </c>
      <c r="I428" t="s" s="1">
        <v>2017</v>
      </c>
      <c r="J428" t="s" s="1">
        <v>2029</v>
      </c>
      <c r="K428" t="s" s="1">
        <v>473</v>
      </c>
      <c r="L428" t="s" s="1">
        <v>702</v>
      </c>
      <c r="M428" t="n" s="5">
        <v>20000.0</v>
      </c>
      <c r="N428" t="n" s="7">
        <v>44588.0</v>
      </c>
      <c r="O428" t="n" s="7">
        <v>44926.0</v>
      </c>
      <c r="P428" t="s" s="1">
        <v>3259</v>
      </c>
    </row>
    <row r="429" spans="1:16">
      <c r="A429" t="n" s="4">
        <v>425</v>
      </c>
      <c r="B429" s="2">
        <f>HYPERLINK("https://my.zakupki.prom.ua/remote/dispatcher/state_purchase_view/35668026", "UA-2022-03-16-002981-a")</f>
        <v/>
      </c>
      <c r="C429" t="s" s="2">
        <v>2890</v>
      </c>
      <c r="D429" s="2">
        <f>HYPERLINK("https://my.zakupki.prom.ua/remote/dispatcher/state_contracting_view/13133627", "UA-2022-03-16-002981-a-a1")</f>
        <v/>
      </c>
      <c r="E429" t="s" s="1">
        <v>1820</v>
      </c>
      <c r="F429" t="s" s="1">
        <v>2314</v>
      </c>
      <c r="G429" t="s" s="1">
        <v>1549</v>
      </c>
      <c r="H429" t="s" s="1">
        <v>613</v>
      </c>
      <c r="I429" t="s" s="1">
        <v>2017</v>
      </c>
      <c r="J429" t="s" s="1">
        <v>1950</v>
      </c>
      <c r="K429" t="s" s="1">
        <v>676</v>
      </c>
      <c r="L429" t="s" s="1">
        <v>172</v>
      </c>
      <c r="M429" t="n" s="5">
        <v>22750.41</v>
      </c>
      <c r="N429" t="n" s="7">
        <v>44636.0</v>
      </c>
      <c r="O429" t="n" s="7">
        <v>44926.0</v>
      </c>
      <c r="P429" t="s" s="1">
        <v>3259</v>
      </c>
    </row>
    <row r="430" spans="1:16">
      <c r="A430" t="n" s="4">
        <v>426</v>
      </c>
      <c r="B430" s="2">
        <f>HYPERLINK("https://my.zakupki.prom.ua/remote/dispatcher/state_purchase_view/36224856", "UA-2022-05-27-001275-a")</f>
        <v/>
      </c>
      <c r="C430" t="s" s="2">
        <v>2890</v>
      </c>
      <c r="D430" s="2">
        <f>HYPERLINK("https://my.zakupki.prom.ua/remote/dispatcher/state_contracting_view/13422162", "UA-2022-05-27-001275-a-b1")</f>
        <v/>
      </c>
      <c r="E430" t="s" s="1">
        <v>1599</v>
      </c>
      <c r="F430" t="s" s="1">
        <v>2632</v>
      </c>
      <c r="G430" t="s" s="1">
        <v>2632</v>
      </c>
      <c r="H430" t="s" s="1">
        <v>933</v>
      </c>
      <c r="I430" t="s" s="1">
        <v>2017</v>
      </c>
      <c r="J430" t="s" s="1">
        <v>1927</v>
      </c>
      <c r="K430" t="s" s="1">
        <v>320</v>
      </c>
      <c r="L430" t="s" s="1">
        <v>517</v>
      </c>
      <c r="M430" t="n" s="5">
        <v>325.0</v>
      </c>
      <c r="N430" t="n" s="7">
        <v>44708.0</v>
      </c>
      <c r="O430" t="n" s="7">
        <v>44926.0</v>
      </c>
      <c r="P430" t="s" s="1">
        <v>3259</v>
      </c>
    </row>
    <row r="431" spans="1:16">
      <c r="A431" t="n" s="4">
        <v>427</v>
      </c>
      <c r="B431" s="2">
        <f>HYPERLINK("https://my.zakupki.prom.ua/remote/dispatcher/state_purchase_view/36224285", "UA-2022-05-27-000955-a")</f>
        <v/>
      </c>
      <c r="C431" t="s" s="2">
        <v>2890</v>
      </c>
      <c r="D431" s="2">
        <f>HYPERLINK("https://my.zakupki.prom.ua/remote/dispatcher/state_contracting_view/13421850", "UA-2022-05-27-000955-a-b1")</f>
        <v/>
      </c>
      <c r="E431" t="s" s="1">
        <v>1849</v>
      </c>
      <c r="F431" t="s" s="1">
        <v>2284</v>
      </c>
      <c r="G431" t="s" s="1">
        <v>2284</v>
      </c>
      <c r="H431" t="s" s="1">
        <v>574</v>
      </c>
      <c r="I431" t="s" s="1">
        <v>2017</v>
      </c>
      <c r="J431" t="s" s="1">
        <v>1927</v>
      </c>
      <c r="K431" t="s" s="1">
        <v>320</v>
      </c>
      <c r="L431" t="s" s="1">
        <v>506</v>
      </c>
      <c r="M431" t="n" s="5">
        <v>95.0</v>
      </c>
      <c r="N431" t="n" s="7">
        <v>44708.0</v>
      </c>
      <c r="O431" t="n" s="7">
        <v>44926.0</v>
      </c>
      <c r="P431" t="s" s="1">
        <v>3259</v>
      </c>
    </row>
    <row r="432" spans="1:16">
      <c r="A432" t="n" s="4">
        <v>428</v>
      </c>
      <c r="B432" s="2">
        <f>HYPERLINK("https://my.zakupki.prom.ua/remote/dispatcher/state_purchase_view/35790640", "UA-2022-03-30-002361-b")</f>
        <v/>
      </c>
      <c r="C432" t="s" s="2">
        <v>2890</v>
      </c>
      <c r="D432" s="2">
        <f>HYPERLINK("https://my.zakupki.prom.ua/remote/dispatcher/state_contracting_view/13201164", "UA-2022-03-30-002361-b-b1")</f>
        <v/>
      </c>
      <c r="E432" t="s" s="1">
        <v>1526</v>
      </c>
      <c r="F432" t="s" s="1">
        <v>2118</v>
      </c>
      <c r="G432" t="s" s="1">
        <v>2118</v>
      </c>
      <c r="H432" t="s" s="1">
        <v>920</v>
      </c>
      <c r="I432" t="s" s="1">
        <v>2017</v>
      </c>
      <c r="J432" t="s" s="1">
        <v>1927</v>
      </c>
      <c r="K432" t="s" s="1">
        <v>320</v>
      </c>
      <c r="L432" t="s" s="1">
        <v>267</v>
      </c>
      <c r="M432" t="n" s="5">
        <v>290.0</v>
      </c>
      <c r="N432" t="n" s="7">
        <v>44651.0</v>
      </c>
      <c r="O432" t="n" s="7">
        <v>44926.0</v>
      </c>
      <c r="P432" t="s" s="1">
        <v>3259</v>
      </c>
    </row>
    <row r="433" spans="1:16">
      <c r="A433" t="n" s="4">
        <v>429</v>
      </c>
      <c r="B433" s="2">
        <f>HYPERLINK("https://my.zakupki.prom.ua/remote/dispatcher/state_purchase_view/35383209", "UA-2022-02-21-009582-b")</f>
        <v/>
      </c>
      <c r="C433" t="s" s="2">
        <v>2890</v>
      </c>
      <c r="D433" s="2">
        <f>HYPERLINK("https://my.zakupki.prom.ua/remote/dispatcher/state_contracting_view/12988107", "UA-2022-02-21-009582-b-b1")</f>
        <v/>
      </c>
      <c r="E433" t="s" s="1">
        <v>1380</v>
      </c>
      <c r="F433" t="s" s="1">
        <v>2420</v>
      </c>
      <c r="G433" t="s" s="1">
        <v>2997</v>
      </c>
      <c r="H433" t="s" s="1">
        <v>650</v>
      </c>
      <c r="I433" t="s" s="1">
        <v>2017</v>
      </c>
      <c r="J433" t="s" s="1">
        <v>3062</v>
      </c>
      <c r="K433" t="s" s="1">
        <v>732</v>
      </c>
      <c r="L433" t="s" s="1">
        <v>217</v>
      </c>
      <c r="M433" t="n" s="5">
        <v>61935.0</v>
      </c>
      <c r="N433" t="n" s="7">
        <v>44609.0</v>
      </c>
      <c r="O433" t="n" s="7">
        <v>44926.0</v>
      </c>
      <c r="P433" t="s" s="1">
        <v>3259</v>
      </c>
    </row>
    <row r="434" spans="1:16">
      <c r="A434" t="n" s="4">
        <v>430</v>
      </c>
      <c r="B434" s="2">
        <f>HYPERLINK("https://my.zakupki.prom.ua/remote/dispatcher/state_purchase_view/35384520", "UA-2022-02-21-010035-b")</f>
        <v/>
      </c>
      <c r="C434" t="s" s="2">
        <v>2890</v>
      </c>
      <c r="D434" s="2">
        <f>HYPERLINK("https://my.zakupki.prom.ua/remote/dispatcher/state_contracting_view/12987661", "UA-2022-02-21-010035-b-b1")</f>
        <v/>
      </c>
      <c r="E434" t="s" s="1">
        <v>1472</v>
      </c>
      <c r="F434" t="s" s="1">
        <v>2503</v>
      </c>
      <c r="G434" t="s" s="1">
        <v>3012</v>
      </c>
      <c r="H434" t="s" s="1">
        <v>659</v>
      </c>
      <c r="I434" t="s" s="1">
        <v>2017</v>
      </c>
      <c r="J434" t="s" s="1">
        <v>3179</v>
      </c>
      <c r="K434" t="s" s="1">
        <v>457</v>
      </c>
      <c r="L434" t="s" s="1">
        <v>119</v>
      </c>
      <c r="M434" t="n" s="5">
        <v>17491.1</v>
      </c>
      <c r="N434" t="n" s="7">
        <v>44613.0</v>
      </c>
      <c r="O434" t="n" s="7">
        <v>44926.0</v>
      </c>
      <c r="P434" t="s" s="1">
        <v>3259</v>
      </c>
    </row>
    <row r="435" spans="1:16">
      <c r="A435" t="n" s="4">
        <v>431</v>
      </c>
      <c r="B435" s="2">
        <f>HYPERLINK("https://my.zakupki.prom.ua/remote/dispatcher/state_purchase_view/35416949", "UA-2022-02-22-004967-b")</f>
        <v/>
      </c>
      <c r="C435" t="s" s="2">
        <v>2890</v>
      </c>
      <c r="D435" s="2">
        <f>HYPERLINK("https://my.zakupki.prom.ua/remote/dispatcher/state_contracting_view/13013254", "UA-2022-02-22-004967-b-b1")</f>
        <v/>
      </c>
      <c r="E435" t="s" s="1">
        <v>827</v>
      </c>
      <c r="F435" t="s" s="1">
        <v>2177</v>
      </c>
      <c r="G435" t="s" s="1">
        <v>2177</v>
      </c>
      <c r="H435" t="s" s="1">
        <v>156</v>
      </c>
      <c r="I435" t="s" s="1">
        <v>2017</v>
      </c>
      <c r="J435" t="s" s="1">
        <v>3130</v>
      </c>
      <c r="K435" t="s" s="1">
        <v>668</v>
      </c>
      <c r="L435" t="s" s="1">
        <v>349</v>
      </c>
      <c r="M435" t="n" s="5">
        <v>45840.6</v>
      </c>
      <c r="N435" t="n" s="7">
        <v>44614.0</v>
      </c>
      <c r="O435" t="n" s="7">
        <v>44926.0</v>
      </c>
      <c r="P435" t="s" s="1">
        <v>3259</v>
      </c>
    </row>
    <row r="436" spans="1:16">
      <c r="A436" t="n" s="4">
        <v>432</v>
      </c>
      <c r="B436" s="2">
        <f>HYPERLINK("https://my.zakupki.prom.ua/remote/dispatcher/state_purchase_view/35705145", "UA-2022-03-21-002754-a")</f>
        <v/>
      </c>
      <c r="C436" t="s" s="2">
        <v>2890</v>
      </c>
      <c r="D436" s="2">
        <f>HYPERLINK("https://my.zakupki.prom.ua/remote/dispatcher/state_contracting_view/13153700", "UA-2022-03-21-002754-a-a1")</f>
        <v/>
      </c>
      <c r="E436" t="s" s="1">
        <v>1551</v>
      </c>
      <c r="F436" t="s" s="1">
        <v>2191</v>
      </c>
      <c r="G436" t="s" s="1">
        <v>2191</v>
      </c>
      <c r="H436" t="s" s="1">
        <v>180</v>
      </c>
      <c r="I436" t="s" s="1">
        <v>2017</v>
      </c>
      <c r="J436" t="s" s="1">
        <v>3237</v>
      </c>
      <c r="K436" t="s" s="1">
        <v>687</v>
      </c>
      <c r="L436" t="s" s="1">
        <v>244</v>
      </c>
      <c r="M436" t="n" s="5">
        <v>1363.0</v>
      </c>
      <c r="N436" t="n" s="7">
        <v>44641.0</v>
      </c>
      <c r="O436" t="n" s="7">
        <v>44926.0</v>
      </c>
      <c r="P436" t="s" s="1">
        <v>3259</v>
      </c>
    </row>
    <row r="437" spans="1:16">
      <c r="A437" t="n" s="4">
        <v>433</v>
      </c>
      <c r="B437" s="2">
        <f>HYPERLINK("https://my.zakupki.prom.ua/remote/dispatcher/state_purchase_view/35432498", "UA-2022-02-22-010410-b")</f>
        <v/>
      </c>
      <c r="C437" t="s" s="2">
        <v>2890</v>
      </c>
      <c r="D437" s="2">
        <f>HYPERLINK("https://my.zakupki.prom.ua/remote/dispatcher/state_contracting_view/13109200", "UA-2022-02-22-010410-b-a1")</f>
        <v/>
      </c>
      <c r="E437" t="s" s="1">
        <v>526</v>
      </c>
      <c r="F437" t="s" s="1">
        <v>2124</v>
      </c>
      <c r="G437" t="s" s="1">
        <v>3213</v>
      </c>
      <c r="H437" t="s" s="1">
        <v>194</v>
      </c>
      <c r="I437" t="s" s="1">
        <v>3022</v>
      </c>
      <c r="J437" t="s" s="1">
        <v>3073</v>
      </c>
      <c r="K437" t="s" s="1">
        <v>612</v>
      </c>
      <c r="L437" t="s" s="1">
        <v>164</v>
      </c>
      <c r="M437" t="n" s="5">
        <v>135960.0</v>
      </c>
      <c r="N437" t="n" s="7">
        <v>44631.0</v>
      </c>
      <c r="O437" t="n" s="7">
        <v>44926.0</v>
      </c>
      <c r="P437" t="s" s="1">
        <v>3259</v>
      </c>
    </row>
    <row r="438" spans="1:16">
      <c r="A438" t="n" s="4">
        <v>434</v>
      </c>
      <c r="B438" s="2">
        <f>HYPERLINK("https://my.zakupki.prom.ua/remote/dispatcher/state_purchase_view/35578942", "UA-2022-03-04-002480-a")</f>
        <v/>
      </c>
      <c r="C438" t="s" s="2">
        <v>2890</v>
      </c>
      <c r="D438" s="2">
        <f>HYPERLINK("https://my.zakupki.prom.ua/remote/dispatcher/state_contracting_view/13085306", "UA-2022-03-04-002480-a-a1")</f>
        <v/>
      </c>
      <c r="E438" t="s" s="1">
        <v>1621</v>
      </c>
      <c r="F438" t="s" s="1">
        <v>2390</v>
      </c>
      <c r="G438" t="s" s="1">
        <v>3248</v>
      </c>
      <c r="H438" t="s" s="1">
        <v>642</v>
      </c>
      <c r="I438" t="s" s="1">
        <v>2017</v>
      </c>
      <c r="J438" t="s" s="1">
        <v>3131</v>
      </c>
      <c r="K438" t="s" s="1">
        <v>743</v>
      </c>
      <c r="L438" t="s" s="1">
        <v>1153</v>
      </c>
      <c r="M438" t="n" s="5">
        <v>5865.27</v>
      </c>
      <c r="N438" t="n" s="7">
        <v>44623.0</v>
      </c>
      <c r="O438" t="n" s="7">
        <v>44926.0</v>
      </c>
      <c r="P438" t="s" s="1">
        <v>3259</v>
      </c>
    </row>
    <row r="439" spans="1:16">
      <c r="A439" t="n" s="4">
        <v>435</v>
      </c>
      <c r="B439" s="2">
        <f>HYPERLINK("https://my.zakupki.prom.ua/remote/dispatcher/state_purchase_view/35577811", "UA-2022-03-04-002159-a")</f>
        <v/>
      </c>
      <c r="C439" t="s" s="2">
        <v>2890</v>
      </c>
      <c r="D439" s="2">
        <f>HYPERLINK("https://my.zakupki.prom.ua/remote/dispatcher/state_contracting_view/13084624", "UA-2022-03-04-002159-a-a1")</f>
        <v/>
      </c>
      <c r="E439" t="s" s="1">
        <v>1755</v>
      </c>
      <c r="F439" t="s" s="1">
        <v>2350</v>
      </c>
      <c r="G439" t="s" s="1">
        <v>2350</v>
      </c>
      <c r="H439" t="s" s="1">
        <v>638</v>
      </c>
      <c r="I439" t="s" s="1">
        <v>2017</v>
      </c>
      <c r="J439" t="s" s="1">
        <v>3125</v>
      </c>
      <c r="K439" t="s" s="1">
        <v>690</v>
      </c>
      <c r="L439" t="s" s="1">
        <v>147</v>
      </c>
      <c r="M439" t="n" s="5">
        <v>3500.0</v>
      </c>
      <c r="N439" t="n" s="7">
        <v>44624.0</v>
      </c>
      <c r="O439" t="n" s="7">
        <v>44926.0</v>
      </c>
      <c r="P439" t="s" s="1">
        <v>3259</v>
      </c>
    </row>
    <row r="440" spans="1:16">
      <c r="A440" t="n" s="4">
        <v>436</v>
      </c>
      <c r="B440" s="2">
        <f>HYPERLINK("https://my.zakupki.prom.ua/remote/dispatcher/state_purchase_view/35590132", "UA-2022-03-07-001767-a")</f>
        <v/>
      </c>
      <c r="C440" t="s" s="2">
        <v>2890</v>
      </c>
      <c r="D440" s="2">
        <f>HYPERLINK("https://my.zakupki.prom.ua/remote/dispatcher/state_contracting_view/13091131", "UA-2022-03-07-001767-a-a1")</f>
        <v/>
      </c>
      <c r="E440" t="s" s="1">
        <v>1696</v>
      </c>
      <c r="F440" t="s" s="1">
        <v>2204</v>
      </c>
      <c r="G440" t="s" s="1">
        <v>2204</v>
      </c>
      <c r="H440" t="s" s="1">
        <v>190</v>
      </c>
      <c r="I440" t="s" s="1">
        <v>2017</v>
      </c>
      <c r="J440" t="s" s="1">
        <v>3237</v>
      </c>
      <c r="K440" t="s" s="1">
        <v>687</v>
      </c>
      <c r="L440" t="s" s="1">
        <v>148</v>
      </c>
      <c r="M440" t="n" s="5">
        <v>7200.0</v>
      </c>
      <c r="N440" t="n" s="7">
        <v>44627.0</v>
      </c>
      <c r="O440" t="n" s="7">
        <v>44926.0</v>
      </c>
      <c r="P440" t="s" s="1">
        <v>3259</v>
      </c>
    </row>
    <row r="441" spans="1:16">
      <c r="A441" t="n" s="4">
        <v>437</v>
      </c>
      <c r="B441" s="2">
        <f>HYPERLINK("https://my.zakupki.prom.ua/remote/dispatcher/state_purchase_view/39695149", "UA-2022-12-23-014339-a")</f>
        <v/>
      </c>
      <c r="C441" t="s" s="2">
        <v>2890</v>
      </c>
      <c r="D441" s="2">
        <f>HYPERLINK("https://my.zakupki.prom.ua/remote/dispatcher/state_contracting_view/15088368", "UA-2022-12-23-014339-a-b1")</f>
        <v/>
      </c>
      <c r="E441" t="s" s="1">
        <v>1685</v>
      </c>
      <c r="F441" t="s" s="1">
        <v>2564</v>
      </c>
      <c r="G441" t="s" s="1">
        <v>2936</v>
      </c>
      <c r="H441" t="s" s="1">
        <v>900</v>
      </c>
      <c r="I441" t="s" s="1">
        <v>2017</v>
      </c>
      <c r="J441" t="s" s="1">
        <v>1927</v>
      </c>
      <c r="K441" t="s" s="1">
        <v>320</v>
      </c>
      <c r="L441" t="s" s="1">
        <v>1342</v>
      </c>
      <c r="M441" t="n" s="5">
        <v>2100.0</v>
      </c>
      <c r="N441" t="n" s="7">
        <v>44918.0</v>
      </c>
      <c r="O441" t="n" s="7">
        <v>44926.0</v>
      </c>
      <c r="P441" t="s" s="1">
        <v>3259</v>
      </c>
    </row>
    <row r="442" spans="1:16">
      <c r="A442" t="n" s="4">
        <v>438</v>
      </c>
      <c r="B442" s="2">
        <f>HYPERLINK("https://my.zakupki.prom.ua/remote/dispatcher/state_purchase_view/39160051", "UA-2022-12-08-014509-a")</f>
        <v/>
      </c>
      <c r="C442" t="s" s="2">
        <v>2890</v>
      </c>
      <c r="D442" s="2">
        <f>HYPERLINK("https://my.zakupki.prom.ua/remote/dispatcher/state_contracting_view/14833629", "UA-2022-12-08-014509-a-b1")</f>
        <v/>
      </c>
      <c r="E442" t="s" s="1">
        <v>609</v>
      </c>
      <c r="F442" t="s" s="1">
        <v>2559</v>
      </c>
      <c r="G442" t="s" s="1">
        <v>3236</v>
      </c>
      <c r="H442" t="s" s="1">
        <v>892</v>
      </c>
      <c r="I442" t="s" s="1">
        <v>2017</v>
      </c>
      <c r="J442" t="s" s="1">
        <v>1927</v>
      </c>
      <c r="K442" t="s" s="1">
        <v>320</v>
      </c>
      <c r="L442" t="s" s="1">
        <v>1297</v>
      </c>
      <c r="M442" t="n" s="5">
        <v>6290.0</v>
      </c>
      <c r="N442" t="n" s="7">
        <v>44903.0</v>
      </c>
      <c r="O442" t="n" s="7">
        <v>44926.0</v>
      </c>
      <c r="P442" t="s" s="1">
        <v>3259</v>
      </c>
    </row>
    <row r="443" spans="1:16">
      <c r="A443" t="n" s="4">
        <v>439</v>
      </c>
      <c r="B443" s="2">
        <f>HYPERLINK("https://my.zakupki.prom.ua/remote/dispatcher/state_purchase_view/39119871", "UA-2022-12-07-015831-a")</f>
        <v/>
      </c>
      <c r="C443" t="s" s="2">
        <v>2890</v>
      </c>
      <c r="D443" s="2">
        <f>HYPERLINK("https://my.zakupki.prom.ua/remote/dispatcher/state_contracting_view/14815229", "UA-2022-12-07-015831-a-b1")</f>
        <v/>
      </c>
      <c r="E443" t="s" s="1">
        <v>1495</v>
      </c>
      <c r="F443" t="s" s="1">
        <v>2206</v>
      </c>
      <c r="G443" t="s" s="1">
        <v>3212</v>
      </c>
      <c r="H443" t="s" s="1">
        <v>194</v>
      </c>
      <c r="I443" t="s" s="1">
        <v>2017</v>
      </c>
      <c r="J443" t="s" s="1">
        <v>3108</v>
      </c>
      <c r="K443" t="s" s="1">
        <v>612</v>
      </c>
      <c r="L443" t="s" s="1">
        <v>1273</v>
      </c>
      <c r="M443" t="n" s="5">
        <v>9996.0</v>
      </c>
      <c r="N443" t="n" s="7">
        <v>44900.0</v>
      </c>
      <c r="O443" t="n" s="7">
        <v>44926.0</v>
      </c>
      <c r="P443" t="s" s="1">
        <v>3259</v>
      </c>
    </row>
    <row r="444" spans="1:16">
      <c r="A444" t="n" s="4">
        <v>440</v>
      </c>
      <c r="B444" s="2">
        <f>HYPERLINK("https://my.zakupki.prom.ua/remote/dispatcher/state_purchase_view/39283096", "UA-2022-12-13-003749-a")</f>
        <v/>
      </c>
      <c r="C444" t="s" s="2">
        <v>2890</v>
      </c>
      <c r="D444" s="2">
        <f>HYPERLINK("https://my.zakupki.prom.ua/remote/dispatcher/state_contracting_view/14891030", "UA-2022-12-13-003749-a-a1")</f>
        <v/>
      </c>
      <c r="E444" t="s" s="1">
        <v>1256</v>
      </c>
      <c r="F444" t="s" s="1">
        <v>2496</v>
      </c>
      <c r="G444" t="s" s="1">
        <v>1992</v>
      </c>
      <c r="H444" t="s" s="1">
        <v>653</v>
      </c>
      <c r="I444" t="s" s="1">
        <v>2017</v>
      </c>
      <c r="J444" t="s" s="1">
        <v>3131</v>
      </c>
      <c r="K444" t="s" s="1">
        <v>743</v>
      </c>
      <c r="L444" t="s" s="1">
        <v>476</v>
      </c>
      <c r="M444" t="n" s="5">
        <v>23516.46</v>
      </c>
      <c r="N444" t="n" s="7">
        <v>44908.0</v>
      </c>
      <c r="O444" t="n" s="7">
        <v>44926.0</v>
      </c>
      <c r="P444" t="s" s="1">
        <v>3259</v>
      </c>
    </row>
    <row r="445" spans="1:16">
      <c r="A445" t="n" s="4">
        <v>441</v>
      </c>
      <c r="B445" s="2">
        <f>HYPERLINK("https://my.zakupki.prom.ua/remote/dispatcher/state_purchase_view/37953719", "UA-2022-10-13-002540-a")</f>
        <v/>
      </c>
      <c r="C445" t="s" s="2">
        <v>2890</v>
      </c>
      <c r="D445" s="2">
        <f>HYPERLINK("https://my.zakupki.prom.ua/remote/dispatcher/state_contracting_view/14264371", "UA-2022-10-13-002540-a-a1")</f>
        <v/>
      </c>
      <c r="E445" t="s" s="1">
        <v>82</v>
      </c>
      <c r="F445" t="s" s="1">
        <v>2326</v>
      </c>
      <c r="G445" t="s" s="1">
        <v>1860</v>
      </c>
      <c r="H445" t="s" s="1">
        <v>636</v>
      </c>
      <c r="I445" t="s" s="1">
        <v>2017</v>
      </c>
      <c r="J445" t="s" s="1">
        <v>2903</v>
      </c>
      <c r="K445" t="s" s="1">
        <v>391</v>
      </c>
      <c r="L445" t="s" s="1">
        <v>1121</v>
      </c>
      <c r="M445" t="n" s="5">
        <v>2400.0</v>
      </c>
      <c r="N445" t="n" s="7">
        <v>44847.0</v>
      </c>
      <c r="O445" t="n" s="7">
        <v>44926.0</v>
      </c>
      <c r="P445" t="s" s="1">
        <v>3259</v>
      </c>
    </row>
    <row r="446" spans="1:16">
      <c r="A446" t="n" s="4">
        <v>442</v>
      </c>
      <c r="B446" s="2">
        <f>HYPERLINK("https://my.zakupki.prom.ua/remote/dispatcher/state_purchase_view/39827129", "UA-2022-12-28-010161-a")</f>
        <v/>
      </c>
      <c r="C446" t="s" s="2">
        <v>2890</v>
      </c>
      <c r="D446" s="2">
        <f>HYPERLINK("https://my.zakupki.prom.ua/remote/dispatcher/state_contracting_view/15152569", "UA-2022-12-28-010161-a-a1")</f>
        <v/>
      </c>
      <c r="E446" t="s" s="1">
        <v>1207</v>
      </c>
      <c r="F446" t="s" s="1">
        <v>2466</v>
      </c>
      <c r="G446" t="s" s="1">
        <v>2871</v>
      </c>
      <c r="H446" t="s" s="1">
        <v>650</v>
      </c>
      <c r="I446" t="s" s="1">
        <v>2017</v>
      </c>
      <c r="J446" t="s" s="1">
        <v>3113</v>
      </c>
      <c r="K446" t="s" s="1">
        <v>398</v>
      </c>
      <c r="L446" t="s" s="1">
        <v>1385</v>
      </c>
      <c r="M446" t="n" s="5">
        <v>1165.6</v>
      </c>
      <c r="N446" t="n" s="7">
        <v>44923.0</v>
      </c>
      <c r="O446" t="n" s="7">
        <v>44926.0</v>
      </c>
      <c r="P446" t="s" s="1">
        <v>3259</v>
      </c>
    </row>
    <row r="447" spans="1:16">
      <c r="A447" t="n" s="4">
        <v>443</v>
      </c>
      <c r="B447" s="2">
        <f>HYPERLINK("https://my.zakupki.prom.ua/remote/dispatcher/state_purchase_view/38261057", "UA-2022-11-01-000390-a")</f>
        <v/>
      </c>
      <c r="C447" t="s" s="2">
        <v>2890</v>
      </c>
      <c r="D447" s="2">
        <f>HYPERLINK("https://my.zakupki.prom.ua/remote/dispatcher/state_contracting_view/14418273", "UA-2022-11-01-000390-a-a1")</f>
        <v/>
      </c>
      <c r="E447" t="s" s="1">
        <v>1412</v>
      </c>
      <c r="F447" t="s" s="1">
        <v>2676</v>
      </c>
      <c r="G447" t="s" s="1">
        <v>2676</v>
      </c>
      <c r="H447" t="s" s="1">
        <v>1027</v>
      </c>
      <c r="I447" t="s" s="1">
        <v>2017</v>
      </c>
      <c r="J447" t="s" s="1">
        <v>1970</v>
      </c>
      <c r="K447" t="s" s="1">
        <v>40</v>
      </c>
      <c r="L447" t="s" s="1">
        <v>356</v>
      </c>
      <c r="M447" t="n" s="5">
        <v>129.6</v>
      </c>
      <c r="N447" t="n" s="7">
        <v>44866.0</v>
      </c>
      <c r="O447" t="n" s="7">
        <v>44926.0</v>
      </c>
      <c r="P447" t="s" s="1">
        <v>3259</v>
      </c>
    </row>
    <row r="448" spans="1:16">
      <c r="A448" t="n" s="4">
        <v>444</v>
      </c>
      <c r="B448" s="2">
        <f>HYPERLINK("https://my.zakupki.prom.ua/remote/dispatcher/state_purchase_view/38647029", "UA-2022-11-18-000992-a")</f>
        <v/>
      </c>
      <c r="C448" t="s" s="2">
        <v>2890</v>
      </c>
      <c r="D448" s="2">
        <f>HYPERLINK("https://my.zakupki.prom.ua/remote/dispatcher/state_contracting_view/14598740", "UA-2022-11-18-000992-a-a1")</f>
        <v/>
      </c>
      <c r="E448" t="s" s="1">
        <v>1479</v>
      </c>
      <c r="F448" t="s" s="1">
        <v>2809</v>
      </c>
      <c r="G448" t="s" s="1">
        <v>2809</v>
      </c>
      <c r="H448" t="s" s="1">
        <v>273</v>
      </c>
      <c r="I448" t="s" s="1">
        <v>2017</v>
      </c>
      <c r="J448" t="s" s="1">
        <v>1951</v>
      </c>
      <c r="K448" t="s" s="1">
        <v>560</v>
      </c>
      <c r="L448" t="s" s="1">
        <v>1229</v>
      </c>
      <c r="M448" t="n" s="5">
        <v>10975.0</v>
      </c>
      <c r="N448" t="n" s="7">
        <v>44882.0</v>
      </c>
      <c r="O448" t="n" s="7">
        <v>44926.0</v>
      </c>
      <c r="P448" t="s" s="1">
        <v>3259</v>
      </c>
    </row>
    <row r="449" spans="1:16">
      <c r="A449" t="n" s="4">
        <v>445</v>
      </c>
      <c r="B449" s="2">
        <f>HYPERLINK("https://my.zakupki.prom.ua/remote/dispatcher/state_purchase_view/38647519", "UA-2022-11-18-001249-a")</f>
        <v/>
      </c>
      <c r="C449" t="s" s="2">
        <v>2890</v>
      </c>
      <c r="D449" s="2">
        <f>HYPERLINK("https://my.zakupki.prom.ua/remote/dispatcher/state_contracting_view/14598742", "UA-2022-11-18-001249-a-c1")</f>
        <v/>
      </c>
      <c r="E449" t="s" s="1">
        <v>981</v>
      </c>
      <c r="F449" t="s" s="1">
        <v>2230</v>
      </c>
      <c r="G449" t="s" s="1">
        <v>2230</v>
      </c>
      <c r="H449" t="s" s="1">
        <v>273</v>
      </c>
      <c r="I449" t="s" s="1">
        <v>2017</v>
      </c>
      <c r="J449" t="s" s="1">
        <v>1951</v>
      </c>
      <c r="K449" t="s" s="1">
        <v>560</v>
      </c>
      <c r="L449" t="s" s="1">
        <v>1230</v>
      </c>
      <c r="M449" t="n" s="5">
        <v>18219.99</v>
      </c>
      <c r="N449" t="n" s="7">
        <v>44882.0</v>
      </c>
      <c r="O449" t="n" s="7">
        <v>44926.0</v>
      </c>
      <c r="P449" t="s" s="1">
        <v>3259</v>
      </c>
    </row>
    <row r="450" spans="1:16">
      <c r="A450" t="n" s="4">
        <v>446</v>
      </c>
      <c r="B450" s="2">
        <f>HYPERLINK("https://my.zakupki.prom.ua/remote/dispatcher/state_purchase_view/38258199", "UA-2022-10-31-008532-a")</f>
        <v/>
      </c>
      <c r="C450" s="2">
        <f>HYPERLINK("https://my.zakupki.prom.ua/remote/dispatcher/state_purchase_lot_view/774804", "UA-2022-10-31-008532-a-L774804")</f>
        <v/>
      </c>
      <c r="D450" s="2">
        <f>HYPERLINK("https://my.zakupki.prom.ua/remote/dispatcher/state_contracting_view/14559594", "UA-2022-10-31-008532-a-a1")</f>
        <v/>
      </c>
      <c r="E450" t="s" s="1">
        <v>11</v>
      </c>
      <c r="F450" t="s" s="1">
        <v>2096</v>
      </c>
      <c r="G450" t="s" s="1">
        <v>2053</v>
      </c>
      <c r="H450" t="s" s="1">
        <v>638</v>
      </c>
      <c r="I450" t="s" s="1">
        <v>1934</v>
      </c>
      <c r="J450" t="s" s="1">
        <v>3070</v>
      </c>
      <c r="K450" t="s" s="1">
        <v>337</v>
      </c>
      <c r="L450" t="s" s="1">
        <v>499</v>
      </c>
      <c r="M450" t="n" s="5">
        <v>155200.0</v>
      </c>
      <c r="N450" t="n" s="7">
        <v>44880.0</v>
      </c>
      <c r="O450" t="n" s="7">
        <v>44926.0</v>
      </c>
      <c r="P450" t="s" s="1">
        <v>3259</v>
      </c>
    </row>
    <row r="451" spans="1:16">
      <c r="A451" t="n" s="4">
        <v>447</v>
      </c>
      <c r="B451" s="2">
        <f>HYPERLINK("https://my.zakupki.prom.ua/remote/dispatcher/state_purchase_view/37201558", "UA-2022-08-24-000750-a")</f>
        <v/>
      </c>
      <c r="C451" t="s" s="2">
        <v>2890</v>
      </c>
      <c r="D451" s="2">
        <f>HYPERLINK("https://my.zakupki.prom.ua/remote/dispatcher/state_contracting_view/13896422", "UA-2022-08-24-000750-a-b1")</f>
        <v/>
      </c>
      <c r="E451" t="s" s="1">
        <v>936</v>
      </c>
      <c r="F451" t="s" s="1">
        <v>2453</v>
      </c>
      <c r="G451" t="s" s="1">
        <v>1898</v>
      </c>
      <c r="H451" t="s" s="1">
        <v>650</v>
      </c>
      <c r="I451" t="s" s="1">
        <v>2017</v>
      </c>
      <c r="J451" t="s" s="1">
        <v>3098</v>
      </c>
      <c r="K451" t="s" s="1">
        <v>652</v>
      </c>
      <c r="L451" t="s" s="1">
        <v>248</v>
      </c>
      <c r="M451" t="n" s="5">
        <v>1842.0</v>
      </c>
      <c r="N451" t="n" s="7">
        <v>44796.0</v>
      </c>
      <c r="O451" t="n" s="7">
        <v>44926.0</v>
      </c>
      <c r="P451" t="s" s="1">
        <v>3259</v>
      </c>
    </row>
    <row r="452" spans="1:16">
      <c r="A452" t="n" s="4">
        <v>448</v>
      </c>
      <c r="B452" s="2">
        <f>HYPERLINK("https://my.zakupki.prom.ua/remote/dispatcher/state_purchase_view/37042692", "UA-2022-08-12-002216-a")</f>
        <v/>
      </c>
      <c r="C452" t="s" s="2">
        <v>2890</v>
      </c>
      <c r="D452" s="2">
        <f>HYPERLINK("https://my.zakupki.prom.ua/remote/dispatcher/state_contracting_view/13819830", "UA-2022-08-12-002216-a-b1")</f>
        <v/>
      </c>
      <c r="E452" t="s" s="1">
        <v>1691</v>
      </c>
      <c r="F452" t="s" s="1">
        <v>2480</v>
      </c>
      <c r="G452" t="s" s="1">
        <v>3207</v>
      </c>
      <c r="H452" t="s" s="1">
        <v>650</v>
      </c>
      <c r="I452" t="s" s="1">
        <v>2017</v>
      </c>
      <c r="J452" t="s" s="1">
        <v>2923</v>
      </c>
      <c r="K452" t="s" s="1">
        <v>545</v>
      </c>
      <c r="L452" t="s" s="1">
        <v>1224</v>
      </c>
      <c r="M452" t="n" s="5">
        <v>117700.0</v>
      </c>
      <c r="N452" t="n" s="7">
        <v>44784.0</v>
      </c>
      <c r="O452" t="n" s="7">
        <v>44926.0</v>
      </c>
      <c r="P452" t="s" s="1">
        <v>3259</v>
      </c>
    </row>
    <row r="453" spans="1:16">
      <c r="A453" t="n" s="4">
        <v>449</v>
      </c>
      <c r="B453" s="2">
        <f>HYPERLINK("https://my.zakupki.prom.ua/remote/dispatcher/state_purchase_view/37707730", "UA-2022-09-27-003872-a")</f>
        <v/>
      </c>
      <c r="C453" t="s" s="2">
        <v>2890</v>
      </c>
      <c r="D453" s="2">
        <f>HYPERLINK("https://my.zakupki.prom.ua/remote/dispatcher/state_contracting_view/14143738", "UA-2022-09-27-003872-a-a1")</f>
        <v/>
      </c>
      <c r="E453" t="s" s="1">
        <v>1742</v>
      </c>
      <c r="F453" t="s" s="1">
        <v>2306</v>
      </c>
      <c r="G453" t="s" s="1">
        <v>2847</v>
      </c>
      <c r="H453" t="s" s="1">
        <v>582</v>
      </c>
      <c r="I453" t="s" s="1">
        <v>2017</v>
      </c>
      <c r="J453" t="s" s="1">
        <v>1927</v>
      </c>
      <c r="K453" t="s" s="1">
        <v>320</v>
      </c>
      <c r="L453" t="s" s="1">
        <v>1076</v>
      </c>
      <c r="M453" t="n" s="5">
        <v>2076.0</v>
      </c>
      <c r="N453" t="n" s="7">
        <v>44831.0</v>
      </c>
      <c r="O453" t="n" s="7">
        <v>44926.0</v>
      </c>
      <c r="P453" t="s" s="1">
        <v>3259</v>
      </c>
    </row>
    <row r="454" spans="1:16">
      <c r="A454" t="n" s="4">
        <v>450</v>
      </c>
      <c r="B454" s="2">
        <f>HYPERLINK("https://my.zakupki.prom.ua/remote/dispatcher/state_purchase_view/37708703", "UA-2022-09-27-004399-a")</f>
        <v/>
      </c>
      <c r="C454" t="s" s="2">
        <v>2890</v>
      </c>
      <c r="D454" s="2">
        <f>HYPERLINK("https://my.zakupki.prom.ua/remote/dispatcher/state_contracting_view/14144307", "UA-2022-09-27-004399-a-a1")</f>
        <v/>
      </c>
      <c r="E454" t="s" s="1">
        <v>1233</v>
      </c>
      <c r="F454" t="s" s="1">
        <v>2592</v>
      </c>
      <c r="G454" t="s" s="1">
        <v>2958</v>
      </c>
      <c r="H454" t="s" s="1">
        <v>911</v>
      </c>
      <c r="I454" t="s" s="1">
        <v>2017</v>
      </c>
      <c r="J454" t="s" s="1">
        <v>1927</v>
      </c>
      <c r="K454" t="s" s="1">
        <v>320</v>
      </c>
      <c r="L454" t="s" s="1">
        <v>1073</v>
      </c>
      <c r="M454" t="n" s="5">
        <v>1360.0</v>
      </c>
      <c r="N454" t="n" s="7">
        <v>44831.0</v>
      </c>
      <c r="O454" t="n" s="7">
        <v>44926.0</v>
      </c>
      <c r="P454" t="s" s="1">
        <v>3259</v>
      </c>
    </row>
    <row r="455" spans="1:16">
      <c r="A455" t="n" s="4">
        <v>451</v>
      </c>
      <c r="B455" s="2">
        <f>HYPERLINK("https://my.zakupki.prom.ua/remote/dispatcher/state_purchase_view/37719639", "UA-2022-09-27-010122-a")</f>
        <v/>
      </c>
      <c r="C455" t="s" s="2">
        <v>2890</v>
      </c>
      <c r="D455" s="2">
        <f>HYPERLINK("https://my.zakupki.prom.ua/remote/dispatcher/state_contracting_view/14149774", "UA-2022-09-27-010122-a-c1")</f>
        <v/>
      </c>
      <c r="E455" t="s" s="1">
        <v>368</v>
      </c>
      <c r="F455" t="s" s="1">
        <v>2566</v>
      </c>
      <c r="G455" t="s" s="1">
        <v>2964</v>
      </c>
      <c r="H455" t="s" s="1">
        <v>900</v>
      </c>
      <c r="I455" t="s" s="1">
        <v>2017</v>
      </c>
      <c r="J455" t="s" s="1">
        <v>1927</v>
      </c>
      <c r="K455" t="s" s="1">
        <v>320</v>
      </c>
      <c r="L455" t="s" s="1">
        <v>1088</v>
      </c>
      <c r="M455" t="n" s="5">
        <v>390.0</v>
      </c>
      <c r="N455" t="n" s="7">
        <v>44831.0</v>
      </c>
      <c r="O455" t="n" s="7">
        <v>44926.0</v>
      </c>
      <c r="P455" t="s" s="1">
        <v>3259</v>
      </c>
    </row>
    <row r="456" spans="1:16">
      <c r="A456" t="n" s="4">
        <v>452</v>
      </c>
      <c r="B456" s="2">
        <f>HYPERLINK("https://my.zakupki.prom.ua/remote/dispatcher/state_purchase_view/37776109", "UA-2022-09-30-006791-a")</f>
        <v/>
      </c>
      <c r="C456" t="s" s="2">
        <v>2890</v>
      </c>
      <c r="D456" s="2">
        <f>HYPERLINK("https://my.zakupki.prom.ua/remote/dispatcher/state_contracting_view/14177545", "UA-2022-09-30-006791-a-a1")</f>
        <v/>
      </c>
      <c r="E456" t="s" s="1">
        <v>1682</v>
      </c>
      <c r="F456" t="s" s="1">
        <v>2452</v>
      </c>
      <c r="G456" t="s" s="1">
        <v>1891</v>
      </c>
      <c r="H456" t="s" s="1">
        <v>650</v>
      </c>
      <c r="I456" t="s" s="1">
        <v>2017</v>
      </c>
      <c r="J456" t="s" s="1">
        <v>2923</v>
      </c>
      <c r="K456" t="s" s="1">
        <v>545</v>
      </c>
      <c r="L456" t="s" s="1">
        <v>1245</v>
      </c>
      <c r="M456" t="n" s="5">
        <v>413727.4</v>
      </c>
      <c r="N456" t="n" s="7">
        <v>44834.0</v>
      </c>
      <c r="O456" t="n" s="7">
        <v>44926.0</v>
      </c>
      <c r="P456" t="s" s="1">
        <v>3259</v>
      </c>
    </row>
    <row r="457" spans="1:16">
      <c r="A457" t="n" s="4">
        <v>453</v>
      </c>
      <c r="B457" s="2">
        <f>HYPERLINK("https://my.zakupki.prom.ua/remote/dispatcher/state_purchase_view/36715506", "UA-2022-07-18-006856-a")</f>
        <v/>
      </c>
      <c r="C457" t="s" s="2">
        <v>2890</v>
      </c>
      <c r="D457" s="2">
        <f>HYPERLINK("https://my.zakupki.prom.ua/remote/dispatcher/state_contracting_view/13665501", "UA-2022-07-18-006856-a-b1")</f>
        <v/>
      </c>
      <c r="E457" t="s" s="1">
        <v>1071</v>
      </c>
      <c r="F457" t="s" s="1">
        <v>2531</v>
      </c>
      <c r="G457" t="s" s="1">
        <v>775</v>
      </c>
      <c r="H457" t="s" s="1">
        <v>774</v>
      </c>
      <c r="I457" t="s" s="1">
        <v>2017</v>
      </c>
      <c r="J457" t="s" s="1">
        <v>1927</v>
      </c>
      <c r="K457" t="s" s="1">
        <v>320</v>
      </c>
      <c r="L457" t="s" s="1">
        <v>787</v>
      </c>
      <c r="M457" t="n" s="5">
        <v>315.0</v>
      </c>
      <c r="N457" t="n" s="7">
        <v>44760.0</v>
      </c>
      <c r="O457" t="n" s="7">
        <v>44926.0</v>
      </c>
      <c r="P457" t="s" s="1">
        <v>3259</v>
      </c>
    </row>
    <row r="458" spans="1:16">
      <c r="A458" t="n" s="4">
        <v>454</v>
      </c>
      <c r="B458" s="2">
        <f>HYPERLINK("https://my.zakupki.prom.ua/remote/dispatcher/state_purchase_view/36745127", "UA-2022-07-20-004924-a")</f>
        <v/>
      </c>
      <c r="C458" t="s" s="2">
        <v>2890</v>
      </c>
      <c r="D458" s="2">
        <f>HYPERLINK("https://my.zakupki.prom.ua/remote/dispatcher/state_contracting_view/13679139", "UA-2022-07-20-004924-a-b1")</f>
        <v/>
      </c>
      <c r="E458" t="s" s="1">
        <v>449</v>
      </c>
      <c r="F458" t="s" s="1">
        <v>2602</v>
      </c>
      <c r="G458" t="s" s="1">
        <v>3208</v>
      </c>
      <c r="H458" t="s" s="1">
        <v>917</v>
      </c>
      <c r="I458" t="s" s="1">
        <v>2017</v>
      </c>
      <c r="J458" t="s" s="1">
        <v>2904</v>
      </c>
      <c r="K458" t="s" s="1">
        <v>688</v>
      </c>
      <c r="L458" t="s" s="1">
        <v>846</v>
      </c>
      <c r="M458" t="n" s="5">
        <v>209.24</v>
      </c>
      <c r="N458" t="n" s="7">
        <v>44762.0</v>
      </c>
      <c r="O458" t="n" s="7">
        <v>44926.0</v>
      </c>
      <c r="P458" t="s" s="1">
        <v>3259</v>
      </c>
    </row>
    <row r="459" spans="1:16">
      <c r="A459" t="n" s="4">
        <v>455</v>
      </c>
      <c r="B459" s="2">
        <f>HYPERLINK("https://my.zakupki.prom.ua/remote/dispatcher/state_purchase_view/37521004", "UA-2022-09-15-002204-a")</f>
        <v/>
      </c>
      <c r="C459" t="s" s="2">
        <v>2890</v>
      </c>
      <c r="D459" s="2">
        <f>HYPERLINK("https://my.zakupki.prom.ua/remote/dispatcher/state_contracting_view/14051609", "UA-2022-09-15-002204-a-b1")</f>
        <v/>
      </c>
      <c r="E459" t="s" s="1">
        <v>711</v>
      </c>
      <c r="F459" t="s" s="1">
        <v>2456</v>
      </c>
      <c r="G459" t="s" s="1">
        <v>1920</v>
      </c>
      <c r="H459" t="s" s="1">
        <v>650</v>
      </c>
      <c r="I459" t="s" s="1">
        <v>2017</v>
      </c>
      <c r="J459" t="s" s="1">
        <v>3113</v>
      </c>
      <c r="K459" t="s" s="1">
        <v>398</v>
      </c>
      <c r="L459" t="s" s="1">
        <v>1054</v>
      </c>
      <c r="M459" t="n" s="5">
        <v>69361.0</v>
      </c>
      <c r="N459" t="n" s="7">
        <v>44818.0</v>
      </c>
      <c r="O459" t="n" s="7">
        <v>44926.0</v>
      </c>
      <c r="P459" t="s" s="1">
        <v>3259</v>
      </c>
    </row>
    <row r="460" spans="1:16">
      <c r="A460" t="n" s="4">
        <v>456</v>
      </c>
      <c r="B460" s="2">
        <f>HYPERLINK("https://my.zakupki.prom.ua/remote/dispatcher/state_purchase_view/37323044", "UA-2022-09-02-002234-a")</f>
        <v/>
      </c>
      <c r="C460" t="s" s="2">
        <v>2890</v>
      </c>
      <c r="D460" s="2">
        <f>HYPERLINK("https://my.zakupki.prom.ua/remote/dispatcher/state_contracting_view/13955487", "UA-2022-09-02-002234-a-b1")</f>
        <v/>
      </c>
      <c r="E460" t="s" s="1">
        <v>1737</v>
      </c>
      <c r="F460" t="s" s="1">
        <v>2613</v>
      </c>
      <c r="G460" t="s" s="1">
        <v>3283</v>
      </c>
      <c r="H460" t="s" s="1">
        <v>921</v>
      </c>
      <c r="I460" t="s" s="1">
        <v>2017</v>
      </c>
      <c r="J460" t="s" s="1">
        <v>3145</v>
      </c>
      <c r="K460" t="s" s="1">
        <v>495</v>
      </c>
      <c r="L460" t="s" s="1">
        <v>3051</v>
      </c>
      <c r="M460" t="n" s="5">
        <v>418.0</v>
      </c>
      <c r="N460" t="n" s="7">
        <v>44806.0</v>
      </c>
      <c r="O460" t="n" s="7">
        <v>44926.0</v>
      </c>
      <c r="P460" t="s" s="1">
        <v>3259</v>
      </c>
    </row>
    <row r="461" spans="1:16">
      <c r="A461" t="n" s="4">
        <v>457</v>
      </c>
      <c r="B461" s="2">
        <f>HYPERLINK("https://my.zakupki.prom.ua/remote/dispatcher/state_purchase_view/36753204", "UA-2022-07-21-000519-a")</f>
        <v/>
      </c>
      <c r="C461" t="s" s="2">
        <v>2890</v>
      </c>
      <c r="D461" s="2">
        <f>HYPERLINK("https://my.zakupki.prom.ua/remote/dispatcher/state_contracting_view/13682942", "UA-2022-07-21-000519-a-b1")</f>
        <v/>
      </c>
      <c r="E461" t="s" s="1">
        <v>1711</v>
      </c>
      <c r="F461" t="s" s="1">
        <v>2591</v>
      </c>
      <c r="G461" t="s" s="1">
        <v>2047</v>
      </c>
      <c r="H461" t="s" s="1">
        <v>911</v>
      </c>
      <c r="I461" t="s" s="1">
        <v>2017</v>
      </c>
      <c r="J461" t="s" s="1">
        <v>2904</v>
      </c>
      <c r="K461" t="s" s="1">
        <v>688</v>
      </c>
      <c r="L461" t="s" s="1">
        <v>869</v>
      </c>
      <c r="M461" t="n" s="5">
        <v>2173.5</v>
      </c>
      <c r="N461" t="n" s="7">
        <v>44762.0</v>
      </c>
      <c r="O461" t="n" s="7">
        <v>44926.0</v>
      </c>
      <c r="P461" t="s" s="1">
        <v>3259</v>
      </c>
    </row>
    <row r="462" spans="1:16">
      <c r="A462" t="n" s="4">
        <v>458</v>
      </c>
      <c r="B462" s="2">
        <f>HYPERLINK("https://my.zakupki.prom.ua/remote/dispatcher/state_purchase_view/37705821", "UA-2022-09-27-002890-a")</f>
        <v/>
      </c>
      <c r="C462" t="s" s="2">
        <v>2890</v>
      </c>
      <c r="D462" s="2">
        <f>HYPERLINK("https://my.zakupki.prom.ua/remote/dispatcher/state_contracting_view/14142835", "UA-2022-09-27-002890-a-a1")</f>
        <v/>
      </c>
      <c r="E462" t="s" s="1">
        <v>1157</v>
      </c>
      <c r="F462" t="s" s="1">
        <v>2495</v>
      </c>
      <c r="G462" t="s" s="1">
        <v>1991</v>
      </c>
      <c r="H462" t="s" s="1">
        <v>653</v>
      </c>
      <c r="I462" t="s" s="1">
        <v>2017</v>
      </c>
      <c r="J462" t="s" s="1">
        <v>3131</v>
      </c>
      <c r="K462" t="s" s="1">
        <v>743</v>
      </c>
      <c r="L462" t="s" s="1">
        <v>394</v>
      </c>
      <c r="M462" t="n" s="5">
        <v>30507.84</v>
      </c>
      <c r="N462" t="n" s="7">
        <v>44831.0</v>
      </c>
      <c r="O462" t="n" s="7">
        <v>44926.0</v>
      </c>
      <c r="P462" t="s" s="1">
        <v>3259</v>
      </c>
    </row>
    <row r="463" spans="1:16">
      <c r="A463" t="n" s="4">
        <v>459</v>
      </c>
      <c r="B463" s="2">
        <f>HYPERLINK("https://my.zakupki.prom.ua/remote/dispatcher/state_purchase_view/38021627", "UA-2022-10-18-002266-a")</f>
        <v/>
      </c>
      <c r="C463" t="s" s="2">
        <v>2890</v>
      </c>
      <c r="D463" s="2">
        <f>HYPERLINK("https://my.zakupki.prom.ua/remote/dispatcher/state_contracting_view/14297531", "UA-2022-10-18-002266-a-a1")</f>
        <v/>
      </c>
      <c r="E463" t="s" s="1">
        <v>1608</v>
      </c>
      <c r="F463" t="s" s="1">
        <v>2478</v>
      </c>
      <c r="G463" t="s" s="1">
        <v>3176</v>
      </c>
      <c r="H463" t="s" s="1">
        <v>650</v>
      </c>
      <c r="I463" t="s" s="1">
        <v>2017</v>
      </c>
      <c r="J463" t="s" s="1">
        <v>3113</v>
      </c>
      <c r="K463" t="s" s="1">
        <v>398</v>
      </c>
      <c r="L463" t="s" s="1">
        <v>1123</v>
      </c>
      <c r="M463" t="n" s="5">
        <v>2350.0</v>
      </c>
      <c r="N463" t="n" s="7">
        <v>44851.0</v>
      </c>
      <c r="O463" t="n" s="7">
        <v>44926.0</v>
      </c>
      <c r="P463" t="s" s="1">
        <v>3259</v>
      </c>
    </row>
    <row r="464" spans="1:16">
      <c r="A464" t="n" s="4">
        <v>460</v>
      </c>
      <c r="B464" s="2">
        <f>HYPERLINK("https://my.zakupki.prom.ua/remote/dispatcher/state_purchase_view/38031221", "UA-2022-10-18-007291-a")</f>
        <v/>
      </c>
      <c r="C464" t="s" s="2">
        <v>2890</v>
      </c>
      <c r="D464" s="2">
        <f>HYPERLINK("https://my.zakupki.prom.ua/remote/dispatcher/state_contracting_view/14302353", "UA-2022-10-18-007291-a-c1")</f>
        <v/>
      </c>
      <c r="E464" t="s" s="1">
        <v>531</v>
      </c>
      <c r="F464" t="s" s="1">
        <v>2216</v>
      </c>
      <c r="G464" t="s" s="1">
        <v>2865</v>
      </c>
      <c r="H464" t="s" s="1">
        <v>197</v>
      </c>
      <c r="I464" t="s" s="1">
        <v>2017</v>
      </c>
      <c r="J464" t="s" s="1">
        <v>3237</v>
      </c>
      <c r="K464" t="s" s="1">
        <v>687</v>
      </c>
      <c r="L464" t="s" s="1">
        <v>1128</v>
      </c>
      <c r="M464" t="n" s="5">
        <v>8970.0</v>
      </c>
      <c r="N464" t="n" s="7">
        <v>44852.0</v>
      </c>
      <c r="O464" t="n" s="7">
        <v>44926.0</v>
      </c>
      <c r="P464" t="s" s="1">
        <v>3259</v>
      </c>
    </row>
    <row r="465" spans="1:16">
      <c r="A465" t="n" s="4">
        <v>461</v>
      </c>
      <c r="B465" s="2">
        <f>HYPERLINK("https://my.zakupki.prom.ua/remote/dispatcher/state_purchase_view/38148397", "UA-2022-10-25-005456-a")</f>
        <v/>
      </c>
      <c r="C465" t="s" s="2">
        <v>2890</v>
      </c>
      <c r="D465" s="2">
        <f>HYPERLINK("https://my.zakupki.prom.ua/remote/dispatcher/state_contracting_view/14366232", "UA-2022-10-25-005456-a-c1")</f>
        <v/>
      </c>
      <c r="E465" t="s" s="1">
        <v>1533</v>
      </c>
      <c r="F465" t="s" s="1">
        <v>2615</v>
      </c>
      <c r="G465" t="s" s="1">
        <v>2615</v>
      </c>
      <c r="H465" t="s" s="1">
        <v>922</v>
      </c>
      <c r="I465" t="s" s="1">
        <v>2017</v>
      </c>
      <c r="J465" t="s" s="1">
        <v>1927</v>
      </c>
      <c r="K465" t="s" s="1">
        <v>320</v>
      </c>
      <c r="L465" t="s" s="1">
        <v>1176</v>
      </c>
      <c r="M465" t="n" s="5">
        <v>1650.0</v>
      </c>
      <c r="N465" t="n" s="7">
        <v>44859.0</v>
      </c>
      <c r="O465" t="n" s="7">
        <v>44926.0</v>
      </c>
      <c r="P465" t="s" s="1">
        <v>3259</v>
      </c>
    </row>
    <row r="466" spans="1:16">
      <c r="A466" t="n" s="4">
        <v>462</v>
      </c>
      <c r="B466" s="2">
        <f>HYPERLINK("https://my.zakupki.prom.ua/remote/dispatcher/state_purchase_view/36073570", "UA-2022-05-06-001508-a")</f>
        <v/>
      </c>
      <c r="C466" t="s" s="2">
        <v>2890</v>
      </c>
      <c r="D466" s="2">
        <f>HYPERLINK("https://my.zakupki.prom.ua/remote/dispatcher/state_contracting_view/13344691", "UA-2022-05-06-001508-a-a1")</f>
        <v/>
      </c>
      <c r="E466" t="s" s="1">
        <v>1571</v>
      </c>
      <c r="F466" t="s" s="1">
        <v>2254</v>
      </c>
      <c r="G466" t="s" s="1">
        <v>3028</v>
      </c>
      <c r="H466" t="s" s="1">
        <v>381</v>
      </c>
      <c r="I466" t="s" s="1">
        <v>2017</v>
      </c>
      <c r="J466" t="s" s="1">
        <v>2903</v>
      </c>
      <c r="K466" t="s" s="1">
        <v>391</v>
      </c>
      <c r="L466" t="s" s="1">
        <v>456</v>
      </c>
      <c r="M466" t="n" s="5">
        <v>7800.0</v>
      </c>
      <c r="N466" t="n" s="7">
        <v>44687.0</v>
      </c>
      <c r="O466" t="n" s="7">
        <v>44926.0</v>
      </c>
      <c r="P466" t="s" s="1">
        <v>3259</v>
      </c>
    </row>
    <row r="467" spans="1:16">
      <c r="A467" t="n" s="4">
        <v>463</v>
      </c>
      <c r="B467" s="2">
        <f>HYPERLINK("https://my.zakupki.prom.ua/remote/dispatcher/state_purchase_view/35957945", "UA-2022-04-19-002269-a")</f>
        <v/>
      </c>
      <c r="C467" t="s" s="2">
        <v>2890</v>
      </c>
      <c r="D467" s="2">
        <f>HYPERLINK("https://my.zakupki.prom.ua/remote/dispatcher/state_contracting_view/13285214", "UA-2022-04-19-002269-a-a1")</f>
        <v/>
      </c>
      <c r="E467" t="s" s="1">
        <v>1673</v>
      </c>
      <c r="F467" t="s" s="1">
        <v>2243</v>
      </c>
      <c r="G467" t="s" s="1">
        <v>2243</v>
      </c>
      <c r="H467" t="s" s="1">
        <v>377</v>
      </c>
      <c r="I467" t="s" s="1">
        <v>2017</v>
      </c>
      <c r="J467" t="s" s="1">
        <v>1952</v>
      </c>
      <c r="K467" t="s" s="1">
        <v>540</v>
      </c>
      <c r="L467" t="s" s="1">
        <v>423</v>
      </c>
      <c r="M467" t="n" s="5">
        <v>10893.09</v>
      </c>
      <c r="N467" t="n" s="7">
        <v>44670.0</v>
      </c>
      <c r="O467" t="n" s="7">
        <v>44926.0</v>
      </c>
      <c r="P467" t="s" s="1">
        <v>3259</v>
      </c>
    </row>
    <row r="468" spans="1:16">
      <c r="A468" t="n" s="4">
        <v>464</v>
      </c>
      <c r="B468" s="2">
        <f>HYPERLINK("https://my.zakupki.prom.ua/remote/dispatcher/state_purchase_view/35642367", "UA-2022-03-14-003212-a")</f>
        <v/>
      </c>
      <c r="C468" t="s" s="2">
        <v>2890</v>
      </c>
      <c r="D468" s="2">
        <f>HYPERLINK("https://my.zakupki.prom.ua/remote/dispatcher/state_contracting_view/13119707", "UA-2022-03-14-003212-a-a1")</f>
        <v/>
      </c>
      <c r="E468" t="s" s="1">
        <v>1152</v>
      </c>
      <c r="F468" t="s" s="1">
        <v>2337</v>
      </c>
      <c r="G468" t="s" s="1">
        <v>1916</v>
      </c>
      <c r="H468" t="s" s="1">
        <v>638</v>
      </c>
      <c r="I468" t="s" s="1">
        <v>2017</v>
      </c>
      <c r="J468" t="s" s="1">
        <v>3113</v>
      </c>
      <c r="K468" t="s" s="1">
        <v>398</v>
      </c>
      <c r="L468" t="s" s="1">
        <v>211</v>
      </c>
      <c r="M468" t="n" s="5">
        <v>3863.07</v>
      </c>
      <c r="N468" t="n" s="7">
        <v>44634.0</v>
      </c>
      <c r="O468" t="n" s="7">
        <v>44926.0</v>
      </c>
      <c r="P468" t="s" s="1">
        <v>3259</v>
      </c>
    </row>
    <row r="469" spans="1:16">
      <c r="A469" t="n" s="4">
        <v>465</v>
      </c>
      <c r="B469" s="2">
        <f>HYPERLINK("https://my.zakupki.prom.ua/remote/dispatcher/state_purchase_view/35642532", "UA-2022-03-14-003264-a")</f>
        <v/>
      </c>
      <c r="C469" t="s" s="2">
        <v>2890</v>
      </c>
      <c r="D469" s="2">
        <f>HYPERLINK("https://my.zakupki.prom.ua/remote/dispatcher/state_contracting_view/13119904", "UA-2022-03-14-003264-a-a1")</f>
        <v/>
      </c>
      <c r="E469" t="s" s="1">
        <v>1811</v>
      </c>
      <c r="F469" t="s" s="1">
        <v>2404</v>
      </c>
      <c r="G469" t="s" s="1">
        <v>1915</v>
      </c>
      <c r="H469" t="s" s="1">
        <v>650</v>
      </c>
      <c r="I469" t="s" s="1">
        <v>2017</v>
      </c>
      <c r="J469" t="s" s="1">
        <v>3113</v>
      </c>
      <c r="K469" t="s" s="1">
        <v>398</v>
      </c>
      <c r="L469" t="s" s="1">
        <v>209</v>
      </c>
      <c r="M469" t="n" s="5">
        <v>2959.6</v>
      </c>
      <c r="N469" t="n" s="7">
        <v>44634.0</v>
      </c>
      <c r="O469" t="n" s="7">
        <v>44926.0</v>
      </c>
      <c r="P469" t="s" s="1">
        <v>3259</v>
      </c>
    </row>
    <row r="470" spans="1:16">
      <c r="A470" t="n" s="4">
        <v>466</v>
      </c>
      <c r="B470" s="2">
        <f>HYPERLINK("https://my.zakupki.prom.ua/remote/dispatcher/state_purchase_view/34929804", "UA-2022-02-08-003046-b")</f>
        <v/>
      </c>
      <c r="C470" t="s" s="2">
        <v>2890</v>
      </c>
      <c r="D470" s="2">
        <f>HYPERLINK("https://my.zakupki.prom.ua/remote/dispatcher/state_contracting_view/12772693", "UA-2022-02-08-003046-b-b1")</f>
        <v/>
      </c>
      <c r="E470" t="s" s="1">
        <v>1384</v>
      </c>
      <c r="F470" t="s" s="1">
        <v>2700</v>
      </c>
      <c r="G470" t="s" s="1">
        <v>2700</v>
      </c>
      <c r="H470" t="s" s="1">
        <v>1311</v>
      </c>
      <c r="I470" t="s" s="1">
        <v>2017</v>
      </c>
      <c r="J470" t="s" s="1">
        <v>3211</v>
      </c>
      <c r="K470" t="s" s="1">
        <v>666</v>
      </c>
      <c r="L470" t="s" s="1">
        <v>48</v>
      </c>
      <c r="M470" t="n" s="5">
        <v>14850.0</v>
      </c>
      <c r="N470" t="n" s="7">
        <v>44600.0</v>
      </c>
      <c r="O470" t="n" s="7">
        <v>44926.0</v>
      </c>
      <c r="P470" t="s" s="1">
        <v>3259</v>
      </c>
    </row>
    <row r="471" spans="1:16">
      <c r="A471" t="n" s="4">
        <v>467</v>
      </c>
      <c r="B471" s="2">
        <f>HYPERLINK("https://my.zakupki.prom.ua/remote/dispatcher/state_purchase_view/36009384", "UA-2022-04-27-001502-a")</f>
        <v/>
      </c>
      <c r="C471" t="s" s="2">
        <v>2890</v>
      </c>
      <c r="D471" s="2">
        <f>HYPERLINK("https://my.zakupki.prom.ua/remote/dispatcher/state_contracting_view/13312346", "UA-2022-04-27-001502-a-a1")</f>
        <v/>
      </c>
      <c r="E471" t="s" s="1">
        <v>1591</v>
      </c>
      <c r="F471" t="s" s="1">
        <v>2151</v>
      </c>
      <c r="G471" t="s" s="1">
        <v>2151</v>
      </c>
      <c r="H471" t="s" s="1">
        <v>1028</v>
      </c>
      <c r="I471" t="s" s="1">
        <v>2017</v>
      </c>
      <c r="J471" t="s" s="1">
        <v>3112</v>
      </c>
      <c r="K471" t="s" s="1">
        <v>849</v>
      </c>
      <c r="L471" t="s" s="1">
        <v>440</v>
      </c>
      <c r="M471" t="n" s="5">
        <v>12500.0</v>
      </c>
      <c r="N471" t="n" s="7">
        <v>44678.0</v>
      </c>
      <c r="O471" t="n" s="7">
        <v>44926.0</v>
      </c>
      <c r="P471" t="s" s="1">
        <v>3259</v>
      </c>
    </row>
    <row r="472" spans="1:16">
      <c r="A472" t="n" s="4">
        <v>468</v>
      </c>
      <c r="B472" s="2">
        <f>HYPERLINK("https://my.zakupki.prom.ua/remote/dispatcher/state_purchase_view/36250870", "UA-2022-06-01-000129-a")</f>
        <v/>
      </c>
      <c r="C472" t="s" s="2">
        <v>2890</v>
      </c>
      <c r="D472" s="2">
        <f>HYPERLINK("https://my.zakupki.prom.ua/remote/dispatcher/state_contracting_view/13436018", "UA-2022-06-01-000129-a-b1")</f>
        <v/>
      </c>
      <c r="E472" t="s" s="1">
        <v>1716</v>
      </c>
      <c r="F472" t="s" s="1">
        <v>2317</v>
      </c>
      <c r="G472" t="s" s="1">
        <v>2317</v>
      </c>
      <c r="H472" t="s" s="1">
        <v>636</v>
      </c>
      <c r="I472" t="s" s="1">
        <v>2017</v>
      </c>
      <c r="J472" t="s" s="1">
        <v>1877</v>
      </c>
      <c r="K472" t="s" s="1">
        <v>510</v>
      </c>
      <c r="L472" t="s" s="1">
        <v>551</v>
      </c>
      <c r="M472" t="n" s="5">
        <v>5746.0</v>
      </c>
      <c r="N472" t="n" s="7">
        <v>44713.0</v>
      </c>
      <c r="O472" t="n" s="7">
        <v>44926.0</v>
      </c>
      <c r="P472" t="s" s="1">
        <v>3259</v>
      </c>
    </row>
    <row r="473" spans="1:16">
      <c r="A473" t="n" s="4">
        <v>469</v>
      </c>
      <c r="B473" s="2">
        <f>HYPERLINK("https://my.zakupki.prom.ua/remote/dispatcher/state_purchase_view/34530452", "UA-2022-01-27-007095-b")</f>
        <v/>
      </c>
      <c r="C473" t="s" s="2">
        <v>2890</v>
      </c>
      <c r="D473" s="2">
        <f>HYPERLINK("https://my.zakupki.prom.ua/remote/dispatcher/state_contracting_view/12589806", "UA-2022-01-27-007095-b-b1")</f>
        <v/>
      </c>
      <c r="E473" t="s" s="1">
        <v>1848</v>
      </c>
      <c r="F473" t="s" s="1">
        <v>2351</v>
      </c>
      <c r="G473" t="s" s="1">
        <v>2351</v>
      </c>
      <c r="H473" t="s" s="1">
        <v>638</v>
      </c>
      <c r="I473" t="s" s="1">
        <v>2017</v>
      </c>
      <c r="J473" t="s" s="1">
        <v>3100</v>
      </c>
      <c r="K473" t="s" s="1">
        <v>652</v>
      </c>
      <c r="L473" t="s" s="1">
        <v>383</v>
      </c>
      <c r="M473" t="n" s="5">
        <v>27000.0</v>
      </c>
      <c r="N473" t="n" s="7">
        <v>44588.0</v>
      </c>
      <c r="O473" t="n" s="7">
        <v>44926.0</v>
      </c>
      <c r="P473" t="s" s="1">
        <v>3259</v>
      </c>
    </row>
    <row r="474" spans="1:16">
      <c r="A474" t="n" s="4">
        <v>470</v>
      </c>
      <c r="B474" s="2">
        <f>HYPERLINK("https://my.zakupki.prom.ua/remote/dispatcher/state_purchase_view/34787421", "UA-2022-02-03-004798-b")</f>
        <v/>
      </c>
      <c r="C474" t="s" s="2">
        <v>2890</v>
      </c>
      <c r="D474" s="2">
        <f>HYPERLINK("https://my.zakupki.prom.ua/remote/dispatcher/state_contracting_view/12705034", "UA-2022-02-03-004798-b-b1")</f>
        <v/>
      </c>
      <c r="E474" t="s" s="1">
        <v>1719</v>
      </c>
      <c r="F474" t="s" s="1">
        <v>2484</v>
      </c>
      <c r="G474" t="s" s="1">
        <v>2484</v>
      </c>
      <c r="H474" t="s" s="1">
        <v>651</v>
      </c>
      <c r="I474" t="s" s="1">
        <v>2017</v>
      </c>
      <c r="J474" t="s" s="1">
        <v>3142</v>
      </c>
      <c r="K474" t="s" s="1">
        <v>851</v>
      </c>
      <c r="L474" t="s" s="1">
        <v>2832</v>
      </c>
      <c r="M474" t="n" s="5">
        <v>1650.0</v>
      </c>
      <c r="N474" t="n" s="7">
        <v>44595.0</v>
      </c>
      <c r="O474" t="n" s="7">
        <v>44926.0</v>
      </c>
      <c r="P474" t="s" s="1">
        <v>3259</v>
      </c>
    </row>
    <row r="475" spans="1:16">
      <c r="A475" t="n" s="4">
        <v>471</v>
      </c>
      <c r="B475" s="2">
        <f>HYPERLINK("https://my.zakupki.prom.ua/remote/dispatcher/state_purchase_view/35267194", "UA-2022-02-17-002871-b")</f>
        <v/>
      </c>
      <c r="C475" t="s" s="2">
        <v>2890</v>
      </c>
      <c r="D475" s="2">
        <f>HYPERLINK("https://my.zakupki.prom.ua/remote/dispatcher/state_contracting_view/12937392", "UA-2022-02-17-002871-b-b1")</f>
        <v/>
      </c>
      <c r="E475" t="s" s="1">
        <v>1502</v>
      </c>
      <c r="F475" t="s" s="1">
        <v>2527</v>
      </c>
      <c r="G475" t="s" s="1">
        <v>2875</v>
      </c>
      <c r="H475" t="s" s="1">
        <v>774</v>
      </c>
      <c r="I475" t="s" s="1">
        <v>2017</v>
      </c>
      <c r="J475" t="s" s="1">
        <v>3068</v>
      </c>
      <c r="K475" t="s" s="1">
        <v>851</v>
      </c>
      <c r="L475" t="s" s="1">
        <v>2834</v>
      </c>
      <c r="M475" t="n" s="5">
        <v>2490.0</v>
      </c>
      <c r="N475" t="n" s="7">
        <v>44609.0</v>
      </c>
      <c r="O475" t="n" s="7">
        <v>44926.0</v>
      </c>
      <c r="P475" t="s" s="1">
        <v>3259</v>
      </c>
    </row>
    <row r="476" spans="1:16">
      <c r="A476" t="n" s="4">
        <v>472</v>
      </c>
      <c r="B476" s="2">
        <f>HYPERLINK("https://my.zakupki.prom.ua/remote/dispatcher/state_purchase_view/35142882", "UA-2022-02-14-007317-b")</f>
        <v/>
      </c>
      <c r="C476" t="s" s="2">
        <v>2890</v>
      </c>
      <c r="D476" s="2">
        <f>HYPERLINK("https://my.zakupki.prom.ua/remote/dispatcher/state_contracting_view/12872547", "UA-2022-02-14-007317-b-b1")</f>
        <v/>
      </c>
      <c r="E476" t="s" s="1">
        <v>452</v>
      </c>
      <c r="F476" t="s" s="1">
        <v>2229</v>
      </c>
      <c r="G476" t="s" s="1">
        <v>2229</v>
      </c>
      <c r="H476" t="s" s="1">
        <v>273</v>
      </c>
      <c r="I476" t="s" s="1">
        <v>2017</v>
      </c>
      <c r="J476" t="s" s="1">
        <v>1952</v>
      </c>
      <c r="K476" t="s" s="1">
        <v>540</v>
      </c>
      <c r="L476" t="s" s="1">
        <v>1448</v>
      </c>
      <c r="M476" t="n" s="5">
        <v>1595.13</v>
      </c>
      <c r="N476" t="n" s="7">
        <v>44606.0</v>
      </c>
      <c r="O476" t="n" s="7">
        <v>44926.0</v>
      </c>
      <c r="P476" t="s" s="1">
        <v>3259</v>
      </c>
    </row>
    <row r="477" spans="1:16">
      <c r="A477" t="n" s="4">
        <v>473</v>
      </c>
      <c r="B477" s="2">
        <f>HYPERLINK("https://my.zakupki.prom.ua/remote/dispatcher/state_purchase_view/35142267", "UA-2022-02-14-007106-b")</f>
        <v/>
      </c>
      <c r="C477" t="s" s="2">
        <v>2890</v>
      </c>
      <c r="D477" s="2">
        <f>HYPERLINK("https://my.zakupki.prom.ua/remote/dispatcher/state_contracting_view/12872120", "UA-2022-02-14-007106-b-b1")</f>
        <v/>
      </c>
      <c r="E477" t="s" s="1">
        <v>389</v>
      </c>
      <c r="F477" t="s" s="1">
        <v>2275</v>
      </c>
      <c r="G477" t="s" s="1">
        <v>2275</v>
      </c>
      <c r="H477" t="s" s="1">
        <v>544</v>
      </c>
      <c r="I477" t="s" s="1">
        <v>2017</v>
      </c>
      <c r="J477" t="s" s="1">
        <v>1950</v>
      </c>
      <c r="K477" t="s" s="1">
        <v>676</v>
      </c>
      <c r="L477" t="s" s="1">
        <v>126</v>
      </c>
      <c r="M477" t="n" s="5">
        <v>4691.91</v>
      </c>
      <c r="N477" t="n" s="7">
        <v>44606.0</v>
      </c>
      <c r="O477" t="n" s="7">
        <v>44926.0</v>
      </c>
      <c r="P477" t="s" s="1">
        <v>3259</v>
      </c>
    </row>
    <row r="478" spans="1:16">
      <c r="A478" t="n" s="4">
        <v>474</v>
      </c>
      <c r="B478" s="2">
        <f>HYPERLINK("https://my.zakupki.prom.ua/remote/dispatcher/state_purchase_view/34798012", "UA-2022-02-03-007913-b")</f>
        <v/>
      </c>
      <c r="C478" t="s" s="2">
        <v>2890</v>
      </c>
      <c r="D478" s="2">
        <f>HYPERLINK("https://my.zakupki.prom.ua/remote/dispatcher/state_contracting_view/12719317", "UA-2022-02-03-007913-b-b1")</f>
        <v/>
      </c>
      <c r="E478" t="s" s="1">
        <v>49</v>
      </c>
      <c r="F478" t="s" s="1">
        <v>2493</v>
      </c>
      <c r="G478" t="s" s="1">
        <v>3264</v>
      </c>
      <c r="H478" t="s" s="1">
        <v>653</v>
      </c>
      <c r="I478" t="s" s="1">
        <v>2017</v>
      </c>
      <c r="J478" t="s" s="1">
        <v>2010</v>
      </c>
      <c r="K478" t="s" s="1">
        <v>338</v>
      </c>
      <c r="L478" t="s" s="1">
        <v>1117</v>
      </c>
      <c r="M478" t="n" s="5">
        <v>44830.0</v>
      </c>
      <c r="N478" t="n" s="7">
        <v>44595.0</v>
      </c>
      <c r="O478" t="n" s="7">
        <v>44926.0</v>
      </c>
      <c r="P478" t="s" s="1">
        <v>3259</v>
      </c>
    </row>
    <row r="479" spans="1:16">
      <c r="A479" t="n" s="4">
        <v>475</v>
      </c>
      <c r="B479" s="2">
        <f>HYPERLINK("https://my.zakupki.prom.ua/remote/dispatcher/state_purchase_view/35578753", "UA-2022-03-04-002417-a")</f>
        <v/>
      </c>
      <c r="C479" t="s" s="2">
        <v>2890</v>
      </c>
      <c r="D479" s="2">
        <f>HYPERLINK("https://my.zakupki.prom.ua/remote/dispatcher/state_contracting_view/13085153", "UA-2022-03-04-002417-a-a1")</f>
        <v/>
      </c>
      <c r="E479" t="s" s="1">
        <v>1751</v>
      </c>
      <c r="F479" t="s" s="1">
        <v>2489</v>
      </c>
      <c r="G479" t="s" s="1">
        <v>1548</v>
      </c>
      <c r="H479" t="s" s="1">
        <v>653</v>
      </c>
      <c r="I479" t="s" s="1">
        <v>2017</v>
      </c>
      <c r="J479" t="s" s="1">
        <v>3131</v>
      </c>
      <c r="K479" t="s" s="1">
        <v>743</v>
      </c>
      <c r="L479" t="s" s="1">
        <v>1087</v>
      </c>
      <c r="M479" t="n" s="5">
        <v>17943.13</v>
      </c>
      <c r="N479" t="n" s="7">
        <v>44623.0</v>
      </c>
      <c r="O479" t="n" s="7">
        <v>44926.0</v>
      </c>
      <c r="P479" t="s" s="1">
        <v>3259</v>
      </c>
    </row>
    <row r="480" spans="1:16">
      <c r="A480" t="n" s="4">
        <v>476</v>
      </c>
      <c r="B480" s="2">
        <f>HYPERLINK("https://my.zakupki.prom.ua/remote/dispatcher/state_purchase_view/34551625", "UA-2022-01-27-013187-b")</f>
        <v/>
      </c>
      <c r="C480" t="s" s="2">
        <v>2890</v>
      </c>
      <c r="D480" s="2">
        <f>HYPERLINK("https://my.zakupki.prom.ua/remote/dispatcher/state_contracting_view/13060521", "UA-2022-01-27-013187-b-b1")</f>
        <v/>
      </c>
      <c r="E480" t="s" s="1">
        <v>1514</v>
      </c>
      <c r="F480" t="s" s="1">
        <v>2782</v>
      </c>
      <c r="G480" t="s" s="1">
        <v>2782</v>
      </c>
      <c r="H480" t="s" s="1">
        <v>1487</v>
      </c>
      <c r="I480" t="s" s="1">
        <v>1933</v>
      </c>
      <c r="J480" t="s" s="1">
        <v>1875</v>
      </c>
      <c r="K480" t="s" s="1">
        <v>821</v>
      </c>
      <c r="L480" t="s" s="1">
        <v>132</v>
      </c>
      <c r="M480" t="n" s="5">
        <v>181500.0</v>
      </c>
      <c r="N480" t="n" s="7">
        <v>44620.0</v>
      </c>
      <c r="O480" t="n" s="7">
        <v>44926.0</v>
      </c>
      <c r="P480" t="s" s="1">
        <v>3259</v>
      </c>
    </row>
    <row r="481" spans="1:16">
      <c r="A481" t="n" s="4">
        <v>477</v>
      </c>
      <c r="B481" s="2">
        <f>HYPERLINK("https://my.zakupki.prom.ua/remote/dispatcher/state_purchase_view/38292149", "UA-2022-11-02-002702-a")</f>
        <v/>
      </c>
      <c r="C481" t="s" s="2">
        <v>2890</v>
      </c>
      <c r="D481" s="2">
        <f>HYPERLINK("https://my.zakupki.prom.ua/remote/dispatcher/state_contracting_view/14435958", "UA-2022-11-02-002702-a-b1")</f>
        <v/>
      </c>
      <c r="E481" t="s" s="1">
        <v>1740</v>
      </c>
      <c r="F481" t="s" s="1">
        <v>2709</v>
      </c>
      <c r="G481" t="s" s="1">
        <v>2709</v>
      </c>
      <c r="H481" t="s" s="1">
        <v>1314</v>
      </c>
      <c r="I481" t="s" s="1">
        <v>2017</v>
      </c>
      <c r="J481" t="s" s="1">
        <v>3105</v>
      </c>
      <c r="K481" t="s" s="1">
        <v>675</v>
      </c>
      <c r="L481" t="s" s="1">
        <v>1904</v>
      </c>
      <c r="M481" t="n" s="5">
        <v>27000.0</v>
      </c>
      <c r="N481" t="n" s="7">
        <v>44867.0</v>
      </c>
      <c r="O481" t="n" s="7">
        <v>44926.0</v>
      </c>
      <c r="P481" t="s" s="1">
        <v>3259</v>
      </c>
    </row>
    <row r="482" spans="1:16">
      <c r="A482" t="n" s="4">
        <v>478</v>
      </c>
      <c r="B482" s="2">
        <f>HYPERLINK("https://my.zakupki.prom.ua/remote/dispatcher/state_purchase_view/39627884", "UA-2022-12-22-005831-a")</f>
        <v/>
      </c>
      <c r="C482" t="s" s="2">
        <v>2890</v>
      </c>
      <c r="D482" s="2">
        <f>HYPERLINK("https://my.zakupki.prom.ua/remote/dispatcher/state_contracting_view/15055650", "UA-2022-12-22-005831-a-c1")</f>
        <v/>
      </c>
      <c r="E482" t="s" s="1">
        <v>1791</v>
      </c>
      <c r="F482" t="s" s="1">
        <v>2173</v>
      </c>
      <c r="G482" t="s" s="1">
        <v>2173</v>
      </c>
      <c r="H482" t="s" s="1">
        <v>71</v>
      </c>
      <c r="I482" t="s" s="1">
        <v>2017</v>
      </c>
      <c r="J482" t="s" s="1">
        <v>3121</v>
      </c>
      <c r="K482" t="s" s="1">
        <v>857</v>
      </c>
      <c r="L482" t="s" s="1">
        <v>1331</v>
      </c>
      <c r="M482" t="n" s="5">
        <v>77966.67</v>
      </c>
      <c r="N482" t="n" s="7">
        <v>44916.0</v>
      </c>
      <c r="O482" t="n" s="7">
        <v>44926.0</v>
      </c>
      <c r="P482" t="s" s="1">
        <v>3259</v>
      </c>
    </row>
    <row r="483" spans="1:16">
      <c r="A483" t="n" s="4">
        <v>479</v>
      </c>
      <c r="B483" s="2">
        <f>HYPERLINK("https://my.zakupki.prom.ua/remote/dispatcher/state_purchase_view/39743462", "UA-2022-12-26-010148-a")</f>
        <v/>
      </c>
      <c r="C483" t="s" s="2">
        <v>2890</v>
      </c>
      <c r="D483" s="2">
        <f>HYPERLINK("https://my.zakupki.prom.ua/remote/dispatcher/state_contracting_view/15111189", "UA-2022-12-26-010148-a-b1")</f>
        <v/>
      </c>
      <c r="E483" t="s" s="1">
        <v>738</v>
      </c>
      <c r="F483" t="s" s="1">
        <v>2278</v>
      </c>
      <c r="G483" t="s" s="1">
        <v>3013</v>
      </c>
      <c r="H483" t="s" s="1">
        <v>546</v>
      </c>
      <c r="I483" t="s" s="1">
        <v>2017</v>
      </c>
      <c r="J483" t="s" s="1">
        <v>2929</v>
      </c>
      <c r="K483" t="s" s="1">
        <v>688</v>
      </c>
      <c r="L483" t="s" s="1">
        <v>1358</v>
      </c>
      <c r="M483" t="n" s="5">
        <v>45.6</v>
      </c>
      <c r="N483" t="n" s="7">
        <v>44921.0</v>
      </c>
      <c r="O483" t="n" s="7">
        <v>44926.0</v>
      </c>
      <c r="P483" t="s" s="1">
        <v>3259</v>
      </c>
    </row>
    <row r="484" spans="1:16">
      <c r="A484" t="n" s="4">
        <v>480</v>
      </c>
      <c r="B484" s="2">
        <f>HYPERLINK("https://my.zakupki.prom.ua/remote/dispatcher/state_purchase_view/39744855", "UA-2022-12-26-010780-a")</f>
        <v/>
      </c>
      <c r="C484" t="s" s="2">
        <v>2890</v>
      </c>
      <c r="D484" s="2">
        <f>HYPERLINK("https://my.zakupki.prom.ua/remote/dispatcher/state_contracting_view/15111975", "UA-2022-12-26-010780-a-b1")</f>
        <v/>
      </c>
      <c r="E484" t="s" s="1">
        <v>1474</v>
      </c>
      <c r="F484" t="s" s="1">
        <v>2223</v>
      </c>
      <c r="G484" t="s" s="1">
        <v>2853</v>
      </c>
      <c r="H484" t="s" s="1">
        <v>214</v>
      </c>
      <c r="I484" t="s" s="1">
        <v>2017</v>
      </c>
      <c r="J484" t="s" s="1">
        <v>2929</v>
      </c>
      <c r="K484" t="s" s="1">
        <v>688</v>
      </c>
      <c r="L484" t="s" s="1">
        <v>1360</v>
      </c>
      <c r="M484" t="n" s="5">
        <v>266.4</v>
      </c>
      <c r="N484" t="n" s="7">
        <v>44921.0</v>
      </c>
      <c r="O484" t="n" s="7">
        <v>44926.0</v>
      </c>
      <c r="P484" t="s" s="1">
        <v>3259</v>
      </c>
    </row>
    <row r="485" spans="1:16">
      <c r="A485" t="n" s="4">
        <v>481</v>
      </c>
      <c r="B485" s="2">
        <f>HYPERLINK("https://my.zakupki.prom.ua/remote/dispatcher/state_purchase_view/38353767", "UA-2022-11-04-004407-a")</f>
        <v/>
      </c>
      <c r="C485" t="s" s="2">
        <v>2890</v>
      </c>
      <c r="D485" s="2">
        <f>HYPERLINK("https://my.zakupki.prom.ua/remote/dispatcher/state_contracting_view/14463194", "UA-2022-11-04-004407-a-c1")</f>
        <v/>
      </c>
      <c r="E485" t="s" s="1">
        <v>477</v>
      </c>
      <c r="F485" t="s" s="1">
        <v>2600</v>
      </c>
      <c r="G485" t="s" s="1">
        <v>2600</v>
      </c>
      <c r="H485" t="s" s="1">
        <v>915</v>
      </c>
      <c r="I485" t="s" s="1">
        <v>2017</v>
      </c>
      <c r="J485" t="s" s="1">
        <v>3115</v>
      </c>
      <c r="K485" t="s" s="1">
        <v>615</v>
      </c>
      <c r="L485" t="s" s="1">
        <v>1324</v>
      </c>
      <c r="M485" t="n" s="5">
        <v>1145.0</v>
      </c>
      <c r="N485" t="n" s="7">
        <v>44868.0</v>
      </c>
      <c r="O485" t="n" s="7">
        <v>44926.0</v>
      </c>
      <c r="P485" t="s" s="1">
        <v>3259</v>
      </c>
    </row>
    <row r="486" spans="1:16">
      <c r="A486" t="n" s="4">
        <v>482</v>
      </c>
      <c r="B486" s="2">
        <f>HYPERLINK("https://my.zakupki.prom.ua/remote/dispatcher/state_purchase_view/36731930", "UA-2022-07-19-006884-a")</f>
        <v/>
      </c>
      <c r="C486" t="s" s="2">
        <v>2890</v>
      </c>
      <c r="D486" s="2">
        <f>HYPERLINK("https://my.zakupki.prom.ua/remote/dispatcher/state_contracting_view/13672945", "UA-2022-07-19-006884-a-b1")</f>
        <v/>
      </c>
      <c r="E486" t="s" s="1">
        <v>1824</v>
      </c>
      <c r="F486" t="s" s="1">
        <v>2172</v>
      </c>
      <c r="G486" t="s" s="1">
        <v>2868</v>
      </c>
      <c r="H486" t="s" s="1">
        <v>69</v>
      </c>
      <c r="I486" t="s" s="1">
        <v>2017</v>
      </c>
      <c r="J486" t="s" s="1">
        <v>1927</v>
      </c>
      <c r="K486" t="s" s="1">
        <v>320</v>
      </c>
      <c r="L486" t="s" s="1">
        <v>826</v>
      </c>
      <c r="M486" t="n" s="5">
        <v>280.0</v>
      </c>
      <c r="N486" t="n" s="7">
        <v>44760.0</v>
      </c>
      <c r="O486" t="n" s="7">
        <v>44926.0</v>
      </c>
      <c r="P486" t="s" s="1">
        <v>3259</v>
      </c>
    </row>
    <row r="487" spans="1:16">
      <c r="A487" t="n" s="4">
        <v>483</v>
      </c>
      <c r="B487" s="2">
        <f>HYPERLINK("https://my.zakupki.prom.ua/remote/dispatcher/state_purchase_view/36753642", "UA-2022-07-21-000745-a")</f>
        <v/>
      </c>
      <c r="C487" t="s" s="2">
        <v>2890</v>
      </c>
      <c r="D487" s="2">
        <f>HYPERLINK("https://my.zakupki.prom.ua/remote/dispatcher/state_contracting_view/13683148", "UA-2022-07-21-000745-a-b1")</f>
        <v/>
      </c>
      <c r="E487" t="s" s="1">
        <v>1438</v>
      </c>
      <c r="F487" t="s" s="1">
        <v>2575</v>
      </c>
      <c r="G487" t="s" s="1">
        <v>1986</v>
      </c>
      <c r="H487" t="s" s="1">
        <v>902</v>
      </c>
      <c r="I487" t="s" s="1">
        <v>2017</v>
      </c>
      <c r="J487" t="s" s="1">
        <v>2904</v>
      </c>
      <c r="K487" t="s" s="1">
        <v>688</v>
      </c>
      <c r="L487" t="s" s="1">
        <v>882</v>
      </c>
      <c r="M487" t="n" s="5">
        <v>2296.5</v>
      </c>
      <c r="N487" t="n" s="7">
        <v>44762.0</v>
      </c>
      <c r="O487" t="n" s="7">
        <v>44926.0</v>
      </c>
      <c r="P487" t="s" s="1">
        <v>3259</v>
      </c>
    </row>
    <row r="488" spans="1:16">
      <c r="A488" t="n" s="4">
        <v>484</v>
      </c>
      <c r="B488" s="2">
        <f>HYPERLINK("https://my.zakupki.prom.ua/remote/dispatcher/state_purchase_view/37718482", "UA-2022-09-27-009532-a")</f>
        <v/>
      </c>
      <c r="C488" t="s" s="2">
        <v>2890</v>
      </c>
      <c r="D488" s="2">
        <f>HYPERLINK("https://my.zakupki.prom.ua/remote/dispatcher/state_contracting_view/14149187", "UA-2022-09-27-009532-a-c1")</f>
        <v/>
      </c>
      <c r="E488" t="s" s="1">
        <v>255</v>
      </c>
      <c r="F488" t="s" s="1">
        <v>2606</v>
      </c>
      <c r="G488" t="s" s="1">
        <v>1989</v>
      </c>
      <c r="H488" t="s" s="1">
        <v>919</v>
      </c>
      <c r="I488" t="s" s="1">
        <v>2017</v>
      </c>
      <c r="J488" t="s" s="1">
        <v>1927</v>
      </c>
      <c r="K488" t="s" s="1">
        <v>320</v>
      </c>
      <c r="L488" t="s" s="1">
        <v>1082</v>
      </c>
      <c r="M488" t="n" s="5">
        <v>180.0</v>
      </c>
      <c r="N488" t="n" s="7">
        <v>44831.0</v>
      </c>
      <c r="O488" t="n" s="7">
        <v>44926.0</v>
      </c>
      <c r="P488" t="s" s="1">
        <v>3259</v>
      </c>
    </row>
    <row r="489" spans="1:16">
      <c r="A489" t="n" s="4">
        <v>485</v>
      </c>
      <c r="B489" s="2">
        <f>HYPERLINK("https://my.zakupki.prom.ua/remote/dispatcher/state_purchase_view/37855959", "UA-2022-10-06-004430-a")</f>
        <v/>
      </c>
      <c r="C489" t="s" s="2">
        <v>2890</v>
      </c>
      <c r="D489" s="2">
        <f>HYPERLINK("https://my.zakupki.prom.ua/remote/dispatcher/state_contracting_view/14216613", "UA-2022-10-06-004430-a-b1")</f>
        <v/>
      </c>
      <c r="E489" t="s" s="1">
        <v>1631</v>
      </c>
      <c r="F489" t="s" s="1">
        <v>2256</v>
      </c>
      <c r="G489" t="s" s="1">
        <v>3029</v>
      </c>
      <c r="H489" t="s" s="1">
        <v>381</v>
      </c>
      <c r="I489" t="s" s="1">
        <v>2017</v>
      </c>
      <c r="J489" t="s" s="1">
        <v>2903</v>
      </c>
      <c r="K489" t="s" s="1">
        <v>391</v>
      </c>
      <c r="L489" t="s" s="1">
        <v>1103</v>
      </c>
      <c r="M489" t="n" s="5">
        <v>7924.0</v>
      </c>
      <c r="N489" t="n" s="7">
        <v>44838.0</v>
      </c>
      <c r="O489" t="n" s="7">
        <v>44926.0</v>
      </c>
      <c r="P489" t="s" s="1">
        <v>3259</v>
      </c>
    </row>
    <row r="490" spans="1:16">
      <c r="A490" t="n" s="4">
        <v>486</v>
      </c>
      <c r="B490" s="2">
        <f>HYPERLINK("https://my.zakupki.prom.ua/remote/dispatcher/state_purchase_view/36754354", "UA-2022-07-21-001112-a")</f>
        <v/>
      </c>
      <c r="C490" t="s" s="2">
        <v>2890</v>
      </c>
      <c r="D490" s="2">
        <f>HYPERLINK("https://my.zakupki.prom.ua/remote/dispatcher/state_contracting_view/13683498", "UA-2022-07-21-001112-a-b1")</f>
        <v/>
      </c>
      <c r="E490" t="s" s="1">
        <v>1435</v>
      </c>
      <c r="F490" t="s" s="1">
        <v>2621</v>
      </c>
      <c r="G490" t="s" s="1">
        <v>3030</v>
      </c>
      <c r="H490" t="s" s="1">
        <v>922</v>
      </c>
      <c r="I490" t="s" s="1">
        <v>2017</v>
      </c>
      <c r="J490" t="s" s="1">
        <v>2904</v>
      </c>
      <c r="K490" t="s" s="1">
        <v>688</v>
      </c>
      <c r="L490" t="s" s="1">
        <v>885</v>
      </c>
      <c r="M490" t="n" s="5">
        <v>232.5</v>
      </c>
      <c r="N490" t="n" s="7">
        <v>44762.0</v>
      </c>
      <c r="O490" t="n" s="7">
        <v>44926.0</v>
      </c>
      <c r="P490" t="s" s="1">
        <v>3259</v>
      </c>
    </row>
    <row r="491" spans="1:16">
      <c r="A491" t="n" s="4">
        <v>487</v>
      </c>
      <c r="B491" s="2">
        <f>HYPERLINK("https://my.zakupki.prom.ua/remote/dispatcher/state_purchase_view/36993182", "UA-2022-08-09-008673-a")</f>
        <v/>
      </c>
      <c r="C491" t="s" s="2">
        <v>2890</v>
      </c>
      <c r="D491" s="2">
        <f>HYPERLINK("https://my.zakupki.prom.ua/remote/dispatcher/state_contracting_view/13796348", "UA-2022-08-09-008673-a-b1")</f>
        <v/>
      </c>
      <c r="E491" t="s" s="1">
        <v>1539</v>
      </c>
      <c r="F491" t="s" s="1">
        <v>2471</v>
      </c>
      <c r="G491" t="s" s="1">
        <v>2951</v>
      </c>
      <c r="H491" t="s" s="1">
        <v>650</v>
      </c>
      <c r="I491" t="s" s="1">
        <v>2017</v>
      </c>
      <c r="J491" t="s" s="1">
        <v>3113</v>
      </c>
      <c r="K491" t="s" s="1">
        <v>398</v>
      </c>
      <c r="L491" t="s" s="1">
        <v>970</v>
      </c>
      <c r="M491" t="n" s="5">
        <v>3285.8</v>
      </c>
      <c r="N491" t="n" s="7">
        <v>44782.0</v>
      </c>
      <c r="O491" t="n" s="7">
        <v>44926.0</v>
      </c>
      <c r="P491" t="s" s="1">
        <v>3259</v>
      </c>
    </row>
    <row r="492" spans="1:16">
      <c r="A492" t="n" s="4">
        <v>488</v>
      </c>
      <c r="B492" s="2">
        <f>HYPERLINK("https://my.zakupki.prom.ua/remote/dispatcher/state_purchase_view/36585269", "UA-2022-07-06-005563-a")</f>
        <v/>
      </c>
      <c r="C492" t="s" s="2">
        <v>2890</v>
      </c>
      <c r="D492" s="2">
        <f>HYPERLINK("https://my.zakupki.prom.ua/remote/dispatcher/state_contracting_view/13604640", "UA-2022-07-06-005563-a-b1")</f>
        <v/>
      </c>
      <c r="E492" t="s" s="1">
        <v>935</v>
      </c>
      <c r="F492" t="s" s="1">
        <v>2315</v>
      </c>
      <c r="G492" t="s" s="1">
        <v>2315</v>
      </c>
      <c r="H492" t="s" s="1">
        <v>613</v>
      </c>
      <c r="I492" t="s" s="1">
        <v>2017</v>
      </c>
      <c r="J492" t="s" s="1">
        <v>1950</v>
      </c>
      <c r="K492" t="s" s="1">
        <v>676</v>
      </c>
      <c r="L492" t="s" s="1">
        <v>240</v>
      </c>
      <c r="M492" t="n" s="5">
        <v>19980.0</v>
      </c>
      <c r="N492" t="n" s="7">
        <v>44748.0</v>
      </c>
      <c r="O492" t="n" s="7">
        <v>44926.0</v>
      </c>
      <c r="P492" t="s" s="1">
        <v>3259</v>
      </c>
    </row>
    <row r="493" spans="1:16">
      <c r="A493" t="n" s="4">
        <v>489</v>
      </c>
      <c r="B493" s="2">
        <f>HYPERLINK("https://my.zakupki.prom.ua/remote/dispatcher/state_purchase_view/37335387", "UA-2022-09-02-008675-a")</f>
        <v/>
      </c>
      <c r="C493" t="s" s="2">
        <v>2890</v>
      </c>
      <c r="D493" s="2">
        <f>HYPERLINK("https://my.zakupki.prom.ua/remote/dispatcher/state_contracting_view/13961502", "UA-2022-09-02-008675-a-b1")</f>
        <v/>
      </c>
      <c r="E493" t="s" s="1">
        <v>1650</v>
      </c>
      <c r="F493" t="s" s="1">
        <v>2572</v>
      </c>
      <c r="G493" t="s" s="1">
        <v>3293</v>
      </c>
      <c r="H493" t="s" s="1">
        <v>902</v>
      </c>
      <c r="I493" t="s" s="1">
        <v>2017</v>
      </c>
      <c r="J493" t="s" s="1">
        <v>3145</v>
      </c>
      <c r="K493" t="s" s="1">
        <v>495</v>
      </c>
      <c r="L493" t="s" s="1">
        <v>3053</v>
      </c>
      <c r="M493" t="n" s="5">
        <v>461.0</v>
      </c>
      <c r="N493" t="n" s="7">
        <v>44806.0</v>
      </c>
      <c r="O493" t="n" s="7">
        <v>44926.0</v>
      </c>
      <c r="P493" t="s" s="1">
        <v>3259</v>
      </c>
    </row>
    <row r="494" spans="1:16">
      <c r="A494" t="n" s="4">
        <v>490</v>
      </c>
      <c r="B494" s="2">
        <f>HYPERLINK("https://my.zakupki.prom.ua/remote/dispatcher/state_purchase_view/37473395", "UA-2022-09-13-001298-a")</f>
        <v/>
      </c>
      <c r="C494" t="s" s="2">
        <v>2890</v>
      </c>
      <c r="D494" s="2">
        <f>HYPERLINK("https://my.zakupki.prom.ua/remote/dispatcher/state_contracting_view/14028543", "UA-2022-09-13-001298-a-b1")</f>
        <v/>
      </c>
      <c r="E494" t="s" s="1">
        <v>1191</v>
      </c>
      <c r="F494" t="s" s="1">
        <v>2273</v>
      </c>
      <c r="G494" t="s" s="1">
        <v>1954</v>
      </c>
      <c r="H494" t="s" s="1">
        <v>426</v>
      </c>
      <c r="I494" t="s" s="1">
        <v>2017</v>
      </c>
      <c r="J494" t="s" s="1">
        <v>3125</v>
      </c>
      <c r="K494" t="s" s="1">
        <v>690</v>
      </c>
      <c r="L494" t="s" s="1">
        <v>1052</v>
      </c>
      <c r="M494" t="n" s="5">
        <v>4044.6</v>
      </c>
      <c r="N494" t="n" s="7">
        <v>44816.0</v>
      </c>
      <c r="O494" t="n" s="7">
        <v>44926.0</v>
      </c>
      <c r="P494" t="s" s="1">
        <v>3259</v>
      </c>
    </row>
    <row r="495" spans="1:16">
      <c r="A495" t="n" s="4">
        <v>491</v>
      </c>
      <c r="B495" s="2">
        <f>HYPERLINK("https://my.zakupki.prom.ua/remote/dispatcher/state_purchase_view/37322972", "UA-2022-09-02-002181-a")</f>
        <v/>
      </c>
      <c r="C495" t="s" s="2">
        <v>2890</v>
      </c>
      <c r="D495" s="2">
        <f>HYPERLINK("https://my.zakupki.prom.ua/remote/dispatcher/state_contracting_view/13955668", "UA-2022-09-02-002181-a-b1")</f>
        <v/>
      </c>
      <c r="E495" t="s" s="1">
        <v>1842</v>
      </c>
      <c r="F495" t="s" s="1">
        <v>2077</v>
      </c>
      <c r="G495" t="s" s="1">
        <v>2854</v>
      </c>
      <c r="H495" t="s" s="1">
        <v>214</v>
      </c>
      <c r="I495" t="s" s="1">
        <v>2017</v>
      </c>
      <c r="J495" t="s" s="1">
        <v>3145</v>
      </c>
      <c r="K495" t="s" s="1">
        <v>495</v>
      </c>
      <c r="L495" t="s" s="1">
        <v>3054</v>
      </c>
      <c r="M495" t="n" s="5">
        <v>205.0</v>
      </c>
      <c r="N495" t="n" s="7">
        <v>44806.0</v>
      </c>
      <c r="O495" t="n" s="7">
        <v>44926.0</v>
      </c>
      <c r="P495" t="s" s="1">
        <v>3259</v>
      </c>
    </row>
    <row r="496" spans="1:16">
      <c r="A496" t="n" s="4">
        <v>492</v>
      </c>
      <c r="B496" s="2">
        <f>HYPERLINK("https://my.zakupki.prom.ua/remote/dispatcher/state_purchase_view/37322641", "UA-2022-09-02-002030-a")</f>
        <v/>
      </c>
      <c r="C496" t="s" s="2">
        <v>2890</v>
      </c>
      <c r="D496" s="2">
        <f>HYPERLINK("https://my.zakupki.prom.ua/remote/dispatcher/state_contracting_view/13955273", "UA-2022-09-02-002030-a-b1")</f>
        <v/>
      </c>
      <c r="E496" t="s" s="1">
        <v>1789</v>
      </c>
      <c r="F496" t="s" s="1">
        <v>2587</v>
      </c>
      <c r="G496" t="s" s="1">
        <v>3253</v>
      </c>
      <c r="H496" t="s" s="1">
        <v>908</v>
      </c>
      <c r="I496" t="s" s="1">
        <v>2017</v>
      </c>
      <c r="J496" t="s" s="1">
        <v>3145</v>
      </c>
      <c r="K496" t="s" s="1">
        <v>495</v>
      </c>
      <c r="L496" t="s" s="1">
        <v>3055</v>
      </c>
      <c r="M496" t="n" s="5">
        <v>13120.0</v>
      </c>
      <c r="N496" t="n" s="7">
        <v>44806.0</v>
      </c>
      <c r="O496" t="n" s="7">
        <v>44926.0</v>
      </c>
      <c r="P496" t="s" s="1">
        <v>3259</v>
      </c>
    </row>
    <row r="497" spans="1:16">
      <c r="A497" t="n" s="4">
        <v>493</v>
      </c>
      <c r="B497" s="2">
        <f>HYPERLINK("https://my.zakupki.prom.ua/remote/dispatcher/state_purchase_view/34145234", "UA-2022-01-18-001037-a")</f>
        <v/>
      </c>
      <c r="C497" t="s" s="2">
        <v>2890</v>
      </c>
      <c r="D497" s="2">
        <f>HYPERLINK("https://my.zakupki.prom.ua/remote/dispatcher/state_contracting_view/12416940", "UA-2022-01-18-001037-a-a1")</f>
        <v/>
      </c>
      <c r="E497" t="s" s="1">
        <v>1786</v>
      </c>
      <c r="F497" t="s" s="1">
        <v>2277</v>
      </c>
      <c r="G497" t="s" s="1">
        <v>2277</v>
      </c>
      <c r="H497" t="s" s="1">
        <v>546</v>
      </c>
      <c r="I497" t="s" s="1">
        <v>2017</v>
      </c>
      <c r="J497" t="s" s="1">
        <v>3089</v>
      </c>
      <c r="K497" t="s" s="1">
        <v>743</v>
      </c>
      <c r="L497" t="s" s="1">
        <v>124</v>
      </c>
      <c r="M497" t="n" s="5">
        <v>225.6</v>
      </c>
      <c r="N497" t="n" s="7">
        <v>44579.0</v>
      </c>
      <c r="O497" t="n" s="7">
        <v>44926.0</v>
      </c>
      <c r="P497" t="s" s="1">
        <v>3259</v>
      </c>
    </row>
    <row r="498" spans="1:16">
      <c r="A498" t="n" s="4">
        <v>494</v>
      </c>
      <c r="B498" s="2">
        <f>HYPERLINK("https://my.zakupki.prom.ua/remote/dispatcher/state_purchase_view/34368693", "UA-2022-01-24-011361-b")</f>
        <v/>
      </c>
      <c r="C498" t="s" s="2">
        <v>2890</v>
      </c>
      <c r="D498" s="2">
        <f>HYPERLINK("https://my.zakupki.prom.ua/remote/dispatcher/state_contracting_view/12512267", "UA-2022-01-24-011361-b-b1")</f>
        <v/>
      </c>
      <c r="E498" t="s" s="1">
        <v>1694</v>
      </c>
      <c r="F498" t="s" s="1">
        <v>2276</v>
      </c>
      <c r="G498" t="s" s="1">
        <v>2276</v>
      </c>
      <c r="H498" t="s" s="1">
        <v>546</v>
      </c>
      <c r="I498" t="s" s="1">
        <v>2017</v>
      </c>
      <c r="J498" t="s" s="1">
        <v>1975</v>
      </c>
      <c r="K498" t="s" s="1">
        <v>603</v>
      </c>
      <c r="L498" t="s" s="1">
        <v>93</v>
      </c>
      <c r="M498" t="n" s="5">
        <v>49770.0</v>
      </c>
      <c r="N498" t="n" s="7">
        <v>44585.0</v>
      </c>
      <c r="O498" t="n" s="7">
        <v>44926.0</v>
      </c>
      <c r="P498" t="s" s="1">
        <v>3259</v>
      </c>
    </row>
    <row r="499" spans="1:16">
      <c r="A499" t="n" s="4">
        <v>495</v>
      </c>
      <c r="B499" s="2">
        <f>HYPERLINK("https://my.zakupki.prom.ua/remote/dispatcher/state_purchase_view/34258895", "UA-2022-01-20-010464-b")</f>
        <v/>
      </c>
      <c r="C499" t="s" s="2">
        <v>2890</v>
      </c>
      <c r="D499" s="2">
        <f>HYPERLINK("https://my.zakupki.prom.ua/remote/dispatcher/state_contracting_view/12465568", "UA-2022-01-20-010464-b-b1")</f>
        <v/>
      </c>
      <c r="E499" t="s" s="1">
        <v>1520</v>
      </c>
      <c r="F499" t="s" s="1">
        <v>2165</v>
      </c>
      <c r="G499" t="s" s="1">
        <v>2165</v>
      </c>
      <c r="H499" t="s" s="1">
        <v>67</v>
      </c>
      <c r="I499" t="s" s="1">
        <v>2017</v>
      </c>
      <c r="J499" t="s" s="1">
        <v>3107</v>
      </c>
      <c r="K499" t="s" s="1">
        <v>863</v>
      </c>
      <c r="L499" t="s" s="1">
        <v>121</v>
      </c>
      <c r="M499" t="n" s="5">
        <v>8277.0</v>
      </c>
      <c r="N499" t="n" s="7">
        <v>44579.0</v>
      </c>
      <c r="O499" t="n" s="7">
        <v>44926.0</v>
      </c>
      <c r="P499" t="s" s="1">
        <v>3259</v>
      </c>
    </row>
    <row r="500" spans="1:16">
      <c r="A500" t="n" s="4">
        <v>496</v>
      </c>
      <c r="B500" s="2">
        <f>HYPERLINK("https://my.zakupki.prom.ua/remote/dispatcher/state_purchase_view/34460497", "UA-2022-01-26-003790-b")</f>
        <v/>
      </c>
      <c r="C500" t="s" s="2">
        <v>2890</v>
      </c>
      <c r="D500" s="2">
        <f>HYPERLINK("https://my.zakupki.prom.ua/remote/dispatcher/state_contracting_view/12553776", "UA-2022-01-26-003790-b-b1")</f>
        <v/>
      </c>
      <c r="E500" t="s" s="1">
        <v>811</v>
      </c>
      <c r="F500" t="s" s="1">
        <v>2744</v>
      </c>
      <c r="G500" t="s" s="1">
        <v>2744</v>
      </c>
      <c r="H500" t="s" s="1">
        <v>1420</v>
      </c>
      <c r="I500" t="s" s="1">
        <v>2017</v>
      </c>
      <c r="J500" t="s" s="1">
        <v>3071</v>
      </c>
      <c r="K500" t="s" s="1">
        <v>729</v>
      </c>
      <c r="L500" t="s" s="1">
        <v>64</v>
      </c>
      <c r="M500" t="n" s="5">
        <v>1500.0</v>
      </c>
      <c r="N500" t="n" s="7">
        <v>44587.0</v>
      </c>
      <c r="O500" t="n" s="7">
        <v>44926.0</v>
      </c>
      <c r="P500" t="s" s="1">
        <v>3259</v>
      </c>
    </row>
    <row r="501" spans="1:16">
      <c r="A501" t="n" s="4">
        <v>497</v>
      </c>
      <c r="B501" s="2">
        <f>HYPERLINK("https://my.zakupki.prom.ua/remote/dispatcher/state_purchase_view/34534376", "UA-2022-01-27-008227-b")</f>
        <v/>
      </c>
      <c r="C501" t="s" s="2">
        <v>2890</v>
      </c>
      <c r="D501" s="2">
        <f>HYPERLINK("https://my.zakupki.prom.ua/remote/dispatcher/state_contracting_view/12590545", "UA-2022-01-27-008227-b-b1")</f>
        <v/>
      </c>
      <c r="E501" t="s" s="1">
        <v>1646</v>
      </c>
      <c r="F501" t="s" s="1">
        <v>2161</v>
      </c>
      <c r="G501" t="s" s="1">
        <v>2161</v>
      </c>
      <c r="H501" t="s" s="1">
        <v>29</v>
      </c>
      <c r="I501" t="s" s="1">
        <v>2017</v>
      </c>
      <c r="J501" t="s" s="1">
        <v>3237</v>
      </c>
      <c r="K501" t="s" s="1">
        <v>687</v>
      </c>
      <c r="L501" t="s" s="1">
        <v>817</v>
      </c>
      <c r="M501" t="n" s="5">
        <v>2250.0</v>
      </c>
      <c r="N501" t="n" s="7">
        <v>44588.0</v>
      </c>
      <c r="O501" t="n" s="7">
        <v>44926.0</v>
      </c>
      <c r="P501" t="s" s="1">
        <v>3259</v>
      </c>
    </row>
    <row r="502" spans="1:16">
      <c r="A502" t="n" s="4">
        <v>498</v>
      </c>
      <c r="B502" s="2">
        <f>HYPERLINK("https://my.zakupki.prom.ua/remote/dispatcher/state_purchase_view/34947921", "UA-2022-02-08-009448-b")</f>
        <v/>
      </c>
      <c r="C502" t="s" s="2">
        <v>2890</v>
      </c>
      <c r="D502" s="2">
        <f>HYPERLINK("https://my.zakupki.prom.ua/remote/dispatcher/state_contracting_view/12785162", "UA-2022-02-08-009448-b-b1")</f>
        <v/>
      </c>
      <c r="E502" t="s" s="1">
        <v>1505</v>
      </c>
      <c r="F502" t="s" s="1">
        <v>2264</v>
      </c>
      <c r="G502" t="s" s="1">
        <v>3284</v>
      </c>
      <c r="H502" t="s" s="1">
        <v>411</v>
      </c>
      <c r="I502" t="s" s="1">
        <v>2017</v>
      </c>
      <c r="J502" t="s" s="1">
        <v>3067</v>
      </c>
      <c r="K502" t="s" s="1">
        <v>398</v>
      </c>
      <c r="L502" t="s" s="1">
        <v>1367</v>
      </c>
      <c r="M502" t="n" s="5">
        <v>4674.0</v>
      </c>
      <c r="N502" t="n" s="7">
        <v>44600.0</v>
      </c>
      <c r="O502" t="n" s="7">
        <v>44926.0</v>
      </c>
      <c r="P502" t="s" s="1">
        <v>3259</v>
      </c>
    </row>
    <row r="503" spans="1:16">
      <c r="A503" t="n" s="4">
        <v>499</v>
      </c>
      <c r="B503" s="2">
        <f>HYPERLINK("https://my.zakupki.prom.ua/remote/dispatcher/state_purchase_view/34793964", "UA-2022-02-03-006698-b")</f>
        <v/>
      </c>
      <c r="C503" t="s" s="2">
        <v>2890</v>
      </c>
      <c r="D503" s="2">
        <f>HYPERLINK("https://my.zakupki.prom.ua/remote/dispatcher/state_contracting_view/12718646", "UA-2022-02-03-006698-b-b1")</f>
        <v/>
      </c>
      <c r="E503" t="s" s="1">
        <v>1759</v>
      </c>
      <c r="F503" t="s" s="1">
        <v>2442</v>
      </c>
      <c r="G503" t="s" s="1">
        <v>2442</v>
      </c>
      <c r="H503" t="s" s="1">
        <v>650</v>
      </c>
      <c r="I503" t="s" s="1">
        <v>2017</v>
      </c>
      <c r="J503" t="s" s="1">
        <v>3099</v>
      </c>
      <c r="K503" t="s" s="1">
        <v>652</v>
      </c>
      <c r="L503" t="s" s="1">
        <v>430</v>
      </c>
      <c r="M503" t="n" s="5">
        <v>1980.0</v>
      </c>
      <c r="N503" t="n" s="7">
        <v>44594.0</v>
      </c>
      <c r="O503" t="n" s="7">
        <v>44926.0</v>
      </c>
      <c r="P503" t="s" s="1">
        <v>3259</v>
      </c>
    </row>
    <row r="504" spans="1:16">
      <c r="A504" t="n" s="4">
        <v>500</v>
      </c>
      <c r="B504" s="2">
        <f>HYPERLINK("https://my.zakupki.prom.ua/remote/dispatcher/state_purchase_view/34794753", "UA-2022-02-03-006935-b")</f>
        <v/>
      </c>
      <c r="C504" t="s" s="2">
        <v>2890</v>
      </c>
      <c r="D504" s="2">
        <f>HYPERLINK("https://my.zakupki.prom.ua/remote/dispatcher/state_contracting_view/12718796", "UA-2022-02-03-006935-b-b1")</f>
        <v/>
      </c>
      <c r="E504" t="s" s="1">
        <v>721</v>
      </c>
      <c r="F504" t="s" s="1">
        <v>2408</v>
      </c>
      <c r="G504" t="s" s="1">
        <v>2408</v>
      </c>
      <c r="H504" t="s" s="1">
        <v>650</v>
      </c>
      <c r="I504" t="s" s="1">
        <v>2017</v>
      </c>
      <c r="J504" t="s" s="1">
        <v>3099</v>
      </c>
      <c r="K504" t="s" s="1">
        <v>652</v>
      </c>
      <c r="L504" t="s" s="1">
        <v>472</v>
      </c>
      <c r="M504" t="n" s="5">
        <v>4531.5</v>
      </c>
      <c r="N504" t="n" s="7">
        <v>44594.0</v>
      </c>
      <c r="O504" t="n" s="7">
        <v>44926.0</v>
      </c>
      <c r="P504" t="s" s="1">
        <v>3259</v>
      </c>
    </row>
    <row r="505" spans="1:16">
      <c r="A505" t="n" s="4">
        <v>501</v>
      </c>
      <c r="B505" s="2">
        <f>HYPERLINK("https://my.zakupki.prom.ua/remote/dispatcher/state_purchase_view/34794259", "UA-2022-02-03-006827-b")</f>
        <v/>
      </c>
      <c r="C505" t="s" s="2">
        <v>2890</v>
      </c>
      <c r="D505" s="2">
        <f>HYPERLINK("https://my.zakupki.prom.ua/remote/dispatcher/state_contracting_view/12718920", "UA-2022-02-03-006827-b-b1")</f>
        <v/>
      </c>
      <c r="E505" t="s" s="1">
        <v>91</v>
      </c>
      <c r="F505" t="s" s="1">
        <v>2407</v>
      </c>
      <c r="G505" t="s" s="1">
        <v>2407</v>
      </c>
      <c r="H505" t="s" s="1">
        <v>650</v>
      </c>
      <c r="I505" t="s" s="1">
        <v>2017</v>
      </c>
      <c r="J505" t="s" s="1">
        <v>3099</v>
      </c>
      <c r="K505" t="s" s="1">
        <v>652</v>
      </c>
      <c r="L505" t="s" s="1">
        <v>488</v>
      </c>
      <c r="M505" t="n" s="5">
        <v>318.5</v>
      </c>
      <c r="N505" t="n" s="7">
        <v>44594.0</v>
      </c>
      <c r="O505" t="n" s="7">
        <v>44926.0</v>
      </c>
      <c r="P505" t="s" s="1">
        <v>3259</v>
      </c>
    </row>
    <row r="506" spans="1:16">
      <c r="A506" t="n" s="4">
        <v>502</v>
      </c>
      <c r="B506" s="2">
        <f>HYPERLINK("https://my.zakupki.prom.ua/remote/dispatcher/state_purchase_view/35790351", "UA-2022-03-30-002243-b")</f>
        <v/>
      </c>
      <c r="C506" t="s" s="2">
        <v>2890</v>
      </c>
      <c r="D506" s="2">
        <f>HYPERLINK("https://my.zakupki.prom.ua/remote/dispatcher/state_contracting_view/13201156", "UA-2022-03-30-002243-b-b1")</f>
        <v/>
      </c>
      <c r="E506" t="s" s="1">
        <v>1500</v>
      </c>
      <c r="F506" t="s" s="1">
        <v>2092</v>
      </c>
      <c r="G506" t="s" s="1">
        <v>3249</v>
      </c>
      <c r="H506" t="s" s="1">
        <v>573</v>
      </c>
      <c r="I506" t="s" s="1">
        <v>2017</v>
      </c>
      <c r="J506" t="s" s="1">
        <v>1927</v>
      </c>
      <c r="K506" t="s" s="1">
        <v>320</v>
      </c>
      <c r="L506" t="s" s="1">
        <v>261</v>
      </c>
      <c r="M506" t="n" s="5">
        <v>477.0</v>
      </c>
      <c r="N506" t="n" s="7">
        <v>44651.0</v>
      </c>
      <c r="O506" t="n" s="7">
        <v>44926.0</v>
      </c>
      <c r="P506" t="s" s="1">
        <v>3259</v>
      </c>
    </row>
    <row r="507" spans="1:16">
      <c r="A507" t="n" s="4">
        <v>503</v>
      </c>
      <c r="B507" s="2">
        <f>HYPERLINK("https://my.zakupki.prom.ua/remote/dispatcher/state_purchase_view/33937916", "UA-2022-01-05-000307-c")</f>
        <v/>
      </c>
      <c r="C507" t="s" s="2">
        <v>2890</v>
      </c>
      <c r="D507" s="2">
        <f>HYPERLINK("https://my.zakupki.prom.ua/remote/dispatcher/state_contracting_view/12339948", "UA-2022-01-05-000307-c-c1")</f>
        <v/>
      </c>
      <c r="E507" t="s" s="1">
        <v>1670</v>
      </c>
      <c r="F507" t="s" s="1">
        <v>2784</v>
      </c>
      <c r="G507" t="s" s="1">
        <v>2784</v>
      </c>
      <c r="H507" t="s" s="1">
        <v>1491</v>
      </c>
      <c r="I507" t="s" s="1">
        <v>2017</v>
      </c>
      <c r="J507" t="s" s="1">
        <v>1974</v>
      </c>
      <c r="K507" t="s" s="1">
        <v>315</v>
      </c>
      <c r="L507" t="s" s="1">
        <v>202</v>
      </c>
      <c r="M507" t="n" s="5">
        <v>11784.0</v>
      </c>
      <c r="N507" t="n" s="7">
        <v>44566.0</v>
      </c>
      <c r="O507" t="n" s="7">
        <v>44926.0</v>
      </c>
      <c r="P507" t="s" s="1">
        <v>3259</v>
      </c>
    </row>
    <row r="508" spans="1:16">
      <c r="A508" t="n" s="4">
        <v>504</v>
      </c>
      <c r="B508" s="2">
        <f>HYPERLINK("https://my.zakupki.prom.ua/remote/dispatcher/state_purchase_view/36121445", "UA-2022-05-13-001856-a")</f>
        <v/>
      </c>
      <c r="C508" t="s" s="2">
        <v>2890</v>
      </c>
      <c r="D508" s="2">
        <f>HYPERLINK("https://my.zakupki.prom.ua/remote/dispatcher/state_contracting_view/13367255", "UA-2022-05-13-001856-a-a1")</f>
        <v/>
      </c>
      <c r="E508" t="s" s="1">
        <v>1177</v>
      </c>
      <c r="F508" t="s" s="1">
        <v>2119</v>
      </c>
      <c r="G508" t="s" s="1">
        <v>2119</v>
      </c>
      <c r="H508" t="s" s="1">
        <v>1421</v>
      </c>
      <c r="I508" t="s" s="1">
        <v>2017</v>
      </c>
      <c r="J508" t="s" s="1">
        <v>3127</v>
      </c>
      <c r="K508" t="s" s="1">
        <v>779</v>
      </c>
      <c r="L508" t="s" s="1">
        <v>489</v>
      </c>
      <c r="M508" t="n" s="5">
        <v>1200.0</v>
      </c>
      <c r="N508" t="n" s="7">
        <v>44693.0</v>
      </c>
      <c r="O508" t="n" s="7">
        <v>44926.0</v>
      </c>
      <c r="P508" t="s" s="1">
        <v>3259</v>
      </c>
    </row>
    <row r="509" spans="1:16">
      <c r="A509" t="n" s="4">
        <v>505</v>
      </c>
      <c r="B509" s="2">
        <f>HYPERLINK("https://my.zakupki.prom.ua/remote/dispatcher/state_purchase_view/36167424", "UA-2022-05-19-004325-a")</f>
        <v/>
      </c>
      <c r="C509" t="s" s="2">
        <v>2890</v>
      </c>
      <c r="D509" s="2">
        <f>HYPERLINK("https://my.zakupki.prom.ua/remote/dispatcher/state_contracting_view/13392869", "UA-2022-05-19-004325-a-b1")</f>
        <v/>
      </c>
      <c r="E509" t="s" s="1">
        <v>974</v>
      </c>
      <c r="F509" t="s" s="1">
        <v>2714</v>
      </c>
      <c r="G509" t="s" s="1">
        <v>2714</v>
      </c>
      <c r="H509" t="s" s="1">
        <v>1319</v>
      </c>
      <c r="I509" t="s" s="1">
        <v>2017</v>
      </c>
      <c r="J509" t="s" s="1">
        <v>1907</v>
      </c>
      <c r="K509" t="s" s="1">
        <v>263</v>
      </c>
      <c r="L509" t="s" s="1">
        <v>492</v>
      </c>
      <c r="M509" t="n" s="5">
        <v>3572.23</v>
      </c>
      <c r="N509" t="n" s="7">
        <v>44700.0</v>
      </c>
      <c r="O509" t="n" s="7">
        <v>44926.0</v>
      </c>
      <c r="P509" t="s" s="1">
        <v>3259</v>
      </c>
    </row>
    <row r="510" spans="1:16">
      <c r="A510" t="n" s="4">
        <v>506</v>
      </c>
      <c r="B510" s="2">
        <f>HYPERLINK("https://my.zakupki.prom.ua/remote/dispatcher/state_purchase_view/35196013", "UA-2022-02-15-008506-b")</f>
        <v/>
      </c>
      <c r="C510" t="s" s="2">
        <v>2890</v>
      </c>
      <c r="D510" s="2">
        <f>HYPERLINK("https://my.zakupki.prom.ua/remote/dispatcher/state_contracting_view/12902747", "UA-2022-02-15-008506-b-b1")</f>
        <v/>
      </c>
      <c r="E510" t="s" s="1">
        <v>1738</v>
      </c>
      <c r="F510" t="s" s="1">
        <v>2192</v>
      </c>
      <c r="G510" t="s" s="1">
        <v>2056</v>
      </c>
      <c r="H510" t="s" s="1">
        <v>182</v>
      </c>
      <c r="I510" t="s" s="1">
        <v>2017</v>
      </c>
      <c r="J510" t="s" s="1">
        <v>3237</v>
      </c>
      <c r="K510" t="s" s="1">
        <v>687</v>
      </c>
      <c r="L510" t="s" s="1">
        <v>1492</v>
      </c>
      <c r="M510" t="n" s="5">
        <v>49967.5</v>
      </c>
      <c r="N510" t="n" s="7">
        <v>44607.0</v>
      </c>
      <c r="O510" t="n" s="7">
        <v>44926.0</v>
      </c>
      <c r="P510" t="s" s="1">
        <v>3259</v>
      </c>
    </row>
    <row r="511" spans="1:16">
      <c r="A511" t="n" s="4">
        <v>507</v>
      </c>
      <c r="B511" s="2">
        <f>HYPERLINK("https://my.zakupki.prom.ua/remote/dispatcher/state_purchase_view/35286824", "UA-2022-02-17-009786-b")</f>
        <v/>
      </c>
      <c r="C511" t="s" s="2">
        <v>2890</v>
      </c>
      <c r="D511" s="2">
        <f>HYPERLINK("https://my.zakupki.prom.ua/remote/dispatcher/state_contracting_view/12941967", "UA-2022-02-17-009786-b-b1")</f>
        <v/>
      </c>
      <c r="E511" t="s" s="1">
        <v>1415</v>
      </c>
      <c r="F511" t="s" s="1">
        <v>2764</v>
      </c>
      <c r="G511" t="s" s="1">
        <v>2764</v>
      </c>
      <c r="H511" t="s" s="1">
        <v>1445</v>
      </c>
      <c r="I511" t="s" s="1">
        <v>2017</v>
      </c>
      <c r="J511" t="s" s="1">
        <v>3067</v>
      </c>
      <c r="K511" t="s" s="1">
        <v>398</v>
      </c>
      <c r="L511" t="s" s="1">
        <v>109</v>
      </c>
      <c r="M511" t="n" s="5">
        <v>30000.0</v>
      </c>
      <c r="N511" t="n" s="7">
        <v>44607.0</v>
      </c>
      <c r="O511" t="n" s="7">
        <v>44926.0</v>
      </c>
      <c r="P511" t="s" s="1">
        <v>3259</v>
      </c>
    </row>
    <row r="512" spans="1:16">
      <c r="A512" t="n" s="4">
        <v>508</v>
      </c>
      <c r="B512" s="2">
        <f>HYPERLINK("https://my.zakupki.prom.ua/remote/dispatcher/state_purchase_view/36230153", "UA-2022-05-27-004140-a")</f>
        <v/>
      </c>
      <c r="C512" t="s" s="2">
        <v>2890</v>
      </c>
      <c r="D512" s="2">
        <f>HYPERLINK("https://my.zakupki.prom.ua/remote/dispatcher/state_contracting_view/13425265", "UA-2022-05-27-004140-a-b1")</f>
        <v/>
      </c>
      <c r="E512" t="s" s="1">
        <v>1620</v>
      </c>
      <c r="F512" t="s" s="1">
        <v>2168</v>
      </c>
      <c r="G512" t="s" s="1">
        <v>3244</v>
      </c>
      <c r="H512" t="s" s="1">
        <v>68</v>
      </c>
      <c r="I512" t="s" s="1">
        <v>2017</v>
      </c>
      <c r="J512" t="s" s="1">
        <v>3128</v>
      </c>
      <c r="K512" t="s" s="1">
        <v>777</v>
      </c>
      <c r="L512" t="s" s="1">
        <v>990</v>
      </c>
      <c r="M512" t="n" s="5">
        <v>109200.0</v>
      </c>
      <c r="N512" t="n" s="7">
        <v>44707.0</v>
      </c>
      <c r="O512" t="n" s="7">
        <v>44926.0</v>
      </c>
      <c r="P512" t="s" s="1">
        <v>3259</v>
      </c>
    </row>
    <row r="513" spans="1:16">
      <c r="A513" t="n" s="4">
        <v>509</v>
      </c>
      <c r="B513" s="2">
        <f>HYPERLINK("https://my.zakupki.prom.ua/remote/dispatcher/state_purchase_view/35802785", "UA-2022-03-31-002401-b")</f>
        <v/>
      </c>
      <c r="C513" t="s" s="2">
        <v>2890</v>
      </c>
      <c r="D513" s="2">
        <f>HYPERLINK("https://my.zakupki.prom.ua/remote/dispatcher/state_contracting_view/13205051", "UA-2022-03-31-002401-b-b1")</f>
        <v/>
      </c>
      <c r="E513" t="s" s="1">
        <v>1853</v>
      </c>
      <c r="F513" t="s" s="1">
        <v>2115</v>
      </c>
      <c r="G513" t="s" s="1">
        <v>2115</v>
      </c>
      <c r="H513" t="s" s="1">
        <v>792</v>
      </c>
      <c r="I513" t="s" s="1">
        <v>2017</v>
      </c>
      <c r="J513" t="s" s="1">
        <v>3237</v>
      </c>
      <c r="K513" t="s" s="1">
        <v>687</v>
      </c>
      <c r="L513" t="s" s="1">
        <v>278</v>
      </c>
      <c r="M513" t="n" s="5">
        <v>8351.5</v>
      </c>
      <c r="N513" t="n" s="7">
        <v>44651.0</v>
      </c>
      <c r="O513" t="n" s="7">
        <v>44926.0</v>
      </c>
      <c r="P513" t="s" s="1">
        <v>3259</v>
      </c>
    </row>
    <row r="514" spans="1:16">
      <c r="A514" t="n" s="4">
        <v>510</v>
      </c>
      <c r="B514" s="2">
        <f>HYPERLINK("https://my.zakupki.prom.ua/remote/dispatcher/state_purchase_view/35947262", "UA-2022-04-18-002257-a")</f>
        <v/>
      </c>
      <c r="C514" t="s" s="2">
        <v>2890</v>
      </c>
      <c r="D514" s="2">
        <f>HYPERLINK("https://my.zakupki.prom.ua/remote/dispatcher/state_contracting_view/13279276", "UA-2022-04-18-002257-a-a1")</f>
        <v/>
      </c>
      <c r="E514" t="s" s="1">
        <v>1264</v>
      </c>
      <c r="F514" t="s" s="1">
        <v>2629</v>
      </c>
      <c r="G514" t="s" s="1">
        <v>2628</v>
      </c>
      <c r="H514" t="s" s="1">
        <v>932</v>
      </c>
      <c r="I514" t="s" s="1">
        <v>2017</v>
      </c>
      <c r="J514" t="s" s="1">
        <v>3197</v>
      </c>
      <c r="K514" t="s" s="1">
        <v>621</v>
      </c>
      <c r="L514" t="s" s="1">
        <v>395</v>
      </c>
      <c r="M514" t="n" s="5">
        <v>742.0</v>
      </c>
      <c r="N514" t="n" s="7">
        <v>44666.0</v>
      </c>
      <c r="O514" t="n" s="7">
        <v>44926.0</v>
      </c>
      <c r="P514" t="s" s="1">
        <v>3259</v>
      </c>
    </row>
    <row r="515" spans="1:16">
      <c r="A515" t="n" s="4">
        <v>511</v>
      </c>
      <c r="B515" s="2">
        <f>HYPERLINK("https://my.zakupki.prom.ua/remote/dispatcher/state_purchase_view/36438522", "UA-2022-06-21-004250-a")</f>
        <v/>
      </c>
      <c r="C515" t="s" s="2">
        <v>2890</v>
      </c>
      <c r="D515" s="2">
        <f>HYPERLINK("https://my.zakupki.prom.ua/remote/dispatcher/state_contracting_view/13531410", "UA-2022-06-21-004250-a-b1")</f>
        <v/>
      </c>
      <c r="E515" t="s" s="1">
        <v>1556</v>
      </c>
      <c r="F515" t="s" s="1">
        <v>2377</v>
      </c>
      <c r="G515" t="s" s="1">
        <v>2953</v>
      </c>
      <c r="H515" t="s" s="1">
        <v>642</v>
      </c>
      <c r="I515" t="s" s="1">
        <v>2017</v>
      </c>
      <c r="J515" t="s" s="1">
        <v>2011</v>
      </c>
      <c r="K515" t="s" s="1">
        <v>627</v>
      </c>
      <c r="L515" t="s" s="1">
        <v>684</v>
      </c>
      <c r="M515" t="n" s="5">
        <v>46500.0</v>
      </c>
      <c r="N515" t="n" s="7">
        <v>44733.0</v>
      </c>
      <c r="O515" t="n" s="7">
        <v>44926.0</v>
      </c>
      <c r="P515" t="s" s="1">
        <v>3259</v>
      </c>
    </row>
    <row r="516" spans="1:16">
      <c r="A516" t="n" s="4">
        <v>512</v>
      </c>
      <c r="B516" s="2">
        <f>HYPERLINK("https://my.zakupki.prom.ua/remote/dispatcher/state_purchase_view/35144459", "UA-2022-02-14-007873-b")</f>
        <v/>
      </c>
      <c r="C516" t="s" s="2">
        <v>2890</v>
      </c>
      <c r="D516" s="2">
        <f>HYPERLINK("https://my.zakupki.prom.ua/remote/dispatcher/state_contracting_view/12877876", "UA-2022-02-14-007873-b-b1")</f>
        <v/>
      </c>
      <c r="E516" t="s" s="1">
        <v>1624</v>
      </c>
      <c r="F516" t="s" s="1">
        <v>2534</v>
      </c>
      <c r="G516" t="s" s="1">
        <v>2534</v>
      </c>
      <c r="H516" t="s" s="1">
        <v>780</v>
      </c>
      <c r="I516" t="s" s="1">
        <v>2017</v>
      </c>
      <c r="J516" t="s" s="1">
        <v>2016</v>
      </c>
      <c r="K516" t="s" s="1">
        <v>474</v>
      </c>
      <c r="L516" t="s" s="1">
        <v>1483</v>
      </c>
      <c r="M516" t="n" s="5">
        <v>7200.0</v>
      </c>
      <c r="N516" t="n" s="7">
        <v>44606.0</v>
      </c>
      <c r="O516" t="n" s="7">
        <v>44926.0</v>
      </c>
      <c r="P516" t="s" s="1">
        <v>3259</v>
      </c>
    </row>
    <row r="517" spans="1:16">
      <c r="A517" t="n" s="4">
        <v>513</v>
      </c>
      <c r="B517" s="2">
        <f>HYPERLINK("https://my.zakupki.prom.ua/remote/dispatcher/state_purchase_view/39779680", "UA-2022-12-27-007005-a")</f>
        <v/>
      </c>
      <c r="C517" t="s" s="2">
        <v>2890</v>
      </c>
      <c r="D517" s="2">
        <f>HYPERLINK("https://my.zakupki.prom.ua/remote/dispatcher/state_contracting_view/15129407", "UA-2022-12-27-007005-a-a1")</f>
        <v/>
      </c>
      <c r="E517" t="s" s="1">
        <v>1663</v>
      </c>
      <c r="F517" t="s" s="1">
        <v>2312</v>
      </c>
      <c r="G517" t="s" s="1">
        <v>1893</v>
      </c>
      <c r="H517" t="s" s="1">
        <v>590</v>
      </c>
      <c r="I517" t="s" s="1">
        <v>2017</v>
      </c>
      <c r="J517" t="s" s="1">
        <v>2904</v>
      </c>
      <c r="K517" t="s" s="1">
        <v>688</v>
      </c>
      <c r="L517" t="s" s="1">
        <v>1375</v>
      </c>
      <c r="M517" t="n" s="5">
        <v>182.4</v>
      </c>
      <c r="N517" t="n" s="7">
        <v>44922.0</v>
      </c>
      <c r="O517" t="n" s="7">
        <v>44926.0</v>
      </c>
      <c r="P517" t="s" s="1">
        <v>3259</v>
      </c>
    </row>
    <row r="518" spans="1:16">
      <c r="A518" t="n" s="4">
        <v>514</v>
      </c>
      <c r="B518" s="2">
        <f>HYPERLINK("https://my.zakupki.prom.ua/remote/dispatcher/state_purchase_view/38618226", "UA-2022-11-17-000968-a")</f>
        <v/>
      </c>
      <c r="C518" t="s" s="2">
        <v>2890</v>
      </c>
      <c r="D518" s="2">
        <f>HYPERLINK("https://my.zakupki.prom.ua/remote/dispatcher/state_contracting_view/14586275", "UA-2022-11-17-000968-a-a1")</f>
        <v/>
      </c>
      <c r="E518" t="s" s="1">
        <v>1481</v>
      </c>
      <c r="F518" t="s" s="1">
        <v>2440</v>
      </c>
      <c r="G518" t="s" s="1">
        <v>3257</v>
      </c>
      <c r="H518" t="s" s="1">
        <v>650</v>
      </c>
      <c r="I518" t="s" s="1">
        <v>2017</v>
      </c>
      <c r="J518" t="s" s="1">
        <v>3098</v>
      </c>
      <c r="K518" t="s" s="1">
        <v>652</v>
      </c>
      <c r="L518" t="s" s="1">
        <v>436</v>
      </c>
      <c r="M518" t="n" s="5">
        <v>2654.14</v>
      </c>
      <c r="N518" t="n" s="7">
        <v>44881.0</v>
      </c>
      <c r="O518" t="n" s="7">
        <v>44926.0</v>
      </c>
      <c r="P518" t="s" s="1">
        <v>3259</v>
      </c>
    </row>
    <row r="519" spans="1:16">
      <c r="A519" t="n" s="4">
        <v>515</v>
      </c>
      <c r="B519" s="2">
        <f>HYPERLINK("https://my.zakupki.prom.ua/remote/dispatcher/state_purchase_view/38686913", "UA-2022-11-21-004155-a")</f>
        <v/>
      </c>
      <c r="C519" t="s" s="2">
        <v>2890</v>
      </c>
      <c r="D519" s="2">
        <f>HYPERLINK("https://my.zakupki.prom.ua/remote/dispatcher/state_contracting_view/14616935", "UA-2022-11-21-004155-a-c1")</f>
        <v/>
      </c>
      <c r="E519" t="s" s="1">
        <v>80</v>
      </c>
      <c r="F519" t="s" s="1">
        <v>2359</v>
      </c>
      <c r="G519" t="s" s="1">
        <v>1896</v>
      </c>
      <c r="H519" t="s" s="1">
        <v>639</v>
      </c>
      <c r="I519" t="s" s="1">
        <v>2017</v>
      </c>
      <c r="J519" t="s" s="1">
        <v>2986</v>
      </c>
      <c r="K519" t="s" s="1">
        <v>673</v>
      </c>
      <c r="L519" t="s" s="1">
        <v>1239</v>
      </c>
      <c r="M519" t="n" s="5">
        <v>69940.0</v>
      </c>
      <c r="N519" t="n" s="7">
        <v>44886.0</v>
      </c>
      <c r="O519" t="n" s="7">
        <v>44926.0</v>
      </c>
      <c r="P519" t="s" s="1">
        <v>3259</v>
      </c>
    </row>
    <row r="520" spans="1:16">
      <c r="A520" t="n" s="4">
        <v>516</v>
      </c>
      <c r="B520" s="2">
        <f>HYPERLINK("https://my.zakupki.prom.ua/remote/dispatcher/state_purchase_view/38210329", "UA-2022-10-27-010636-a")</f>
        <v/>
      </c>
      <c r="C520" t="s" s="2">
        <v>2890</v>
      </c>
      <c r="D520" s="2">
        <f>HYPERLINK("https://my.zakupki.prom.ua/remote/dispatcher/state_contracting_view/14393843", "UA-2022-10-27-010636-a-c1")</f>
        <v/>
      </c>
      <c r="E520" t="s" s="1">
        <v>1830</v>
      </c>
      <c r="F520" t="s" s="1">
        <v>2690</v>
      </c>
      <c r="G520" t="s" s="1">
        <v>2690</v>
      </c>
      <c r="H520" t="s" s="1">
        <v>1034</v>
      </c>
      <c r="I520" t="s" s="1">
        <v>2017</v>
      </c>
      <c r="J520" t="s" s="1">
        <v>1906</v>
      </c>
      <c r="K520" t="s" s="1">
        <v>491</v>
      </c>
      <c r="L520" t="s" s="1">
        <v>1187</v>
      </c>
      <c r="M520" t="n" s="5">
        <v>49980.0</v>
      </c>
      <c r="N520" t="n" s="7">
        <v>44861.0</v>
      </c>
      <c r="O520" t="n" s="7">
        <v>44926.0</v>
      </c>
      <c r="P520" t="s" s="1">
        <v>3259</v>
      </c>
    </row>
    <row r="521" spans="1:16">
      <c r="A521" t="n" s="4">
        <v>517</v>
      </c>
      <c r="B521" s="2">
        <f>HYPERLINK("https://my.zakupki.prom.ua/remote/dispatcher/state_purchase_view/36404414", "UA-2022-06-17-000271-a")</f>
        <v/>
      </c>
      <c r="C521" t="s" s="2">
        <v>2890</v>
      </c>
      <c r="D521" s="2">
        <f>HYPERLINK("https://my.zakupki.prom.ua/remote/dispatcher/state_contracting_view/13514396", "UA-2022-06-17-000271-a-b1")</f>
        <v/>
      </c>
      <c r="E521" t="s" s="1">
        <v>1488</v>
      </c>
      <c r="F521" t="s" s="1">
        <v>2721</v>
      </c>
      <c r="G521" t="s" s="1">
        <v>2721</v>
      </c>
      <c r="H521" t="s" s="1">
        <v>1320</v>
      </c>
      <c r="I521" t="s" s="1">
        <v>2017</v>
      </c>
      <c r="J521" t="s" s="1">
        <v>3133</v>
      </c>
      <c r="K521" t="s" s="1">
        <v>877</v>
      </c>
      <c r="L521" t="s" s="1">
        <v>165</v>
      </c>
      <c r="M521" t="n" s="5">
        <v>5200.0</v>
      </c>
      <c r="N521" t="n" s="7">
        <v>44729.0</v>
      </c>
      <c r="O521" t="n" s="7">
        <v>44926.0</v>
      </c>
      <c r="P521" t="s" s="1">
        <v>3259</v>
      </c>
    </row>
    <row r="522" spans="1:16">
      <c r="A522" t="n" s="4">
        <v>518</v>
      </c>
      <c r="B522" s="2">
        <f>HYPERLINK("https://my.zakupki.prom.ua/remote/dispatcher/state_purchase_view/39728961", "UA-2022-12-26-003227-a")</f>
        <v/>
      </c>
      <c r="C522" t="s" s="2">
        <v>2890</v>
      </c>
      <c r="D522" s="2">
        <f>HYPERLINK("https://my.zakupki.prom.ua/remote/dispatcher/state_contracting_view/15104272", "UA-2022-12-26-003227-a-b1")</f>
        <v/>
      </c>
      <c r="E522" t="s" s="1">
        <v>50</v>
      </c>
      <c r="F522" t="s" s="1">
        <v>2178</v>
      </c>
      <c r="G522" t="s" s="1">
        <v>3038</v>
      </c>
      <c r="H522" t="s" s="1">
        <v>160</v>
      </c>
      <c r="I522" t="s" s="1">
        <v>2017</v>
      </c>
      <c r="J522" t="s" s="1">
        <v>3237</v>
      </c>
      <c r="K522" t="s" s="1">
        <v>687</v>
      </c>
      <c r="L522" t="s" s="1">
        <v>1349</v>
      </c>
      <c r="M522" t="n" s="5">
        <v>6400.0</v>
      </c>
      <c r="N522" t="n" s="7">
        <v>44918.0</v>
      </c>
      <c r="O522" t="n" s="7">
        <v>44926.0</v>
      </c>
      <c r="P522" t="s" s="1">
        <v>3259</v>
      </c>
    </row>
    <row r="523" spans="1:16">
      <c r="A523" t="n" s="4">
        <v>519</v>
      </c>
      <c r="B523" s="2">
        <f>HYPERLINK("https://my.zakupki.prom.ua/remote/dispatcher/state_purchase_view/39745773", "UA-2022-12-26-011245-a")</f>
        <v/>
      </c>
      <c r="C523" t="s" s="2">
        <v>2890</v>
      </c>
      <c r="D523" s="2">
        <f>HYPERLINK("https://my.zakupki.prom.ua/remote/dispatcher/state_contracting_view/15112356", "UA-2022-12-26-011245-a-a1")</f>
        <v/>
      </c>
      <c r="E523" t="s" s="1">
        <v>1409</v>
      </c>
      <c r="F523" t="s" s="1">
        <v>2590</v>
      </c>
      <c r="G523" t="s" s="1">
        <v>1961</v>
      </c>
      <c r="H523" t="s" s="1">
        <v>911</v>
      </c>
      <c r="I523" t="s" s="1">
        <v>2017</v>
      </c>
      <c r="J523" t="s" s="1">
        <v>2929</v>
      </c>
      <c r="K523" t="s" s="1">
        <v>688</v>
      </c>
      <c r="L523" t="s" s="1">
        <v>1361</v>
      </c>
      <c r="M523" t="n" s="5">
        <v>1089.0</v>
      </c>
      <c r="N523" t="n" s="7">
        <v>44921.0</v>
      </c>
      <c r="O523" t="n" s="7">
        <v>44926.0</v>
      </c>
      <c r="P523" t="s" s="1">
        <v>3259</v>
      </c>
    </row>
    <row r="524" spans="1:16">
      <c r="A524" t="n" s="4">
        <v>520</v>
      </c>
      <c r="B524" s="2">
        <f>HYPERLINK("https://my.zakupki.prom.ua/remote/dispatcher/state_purchase_view/38115496", "UA-2022-10-24-001350-a")</f>
        <v/>
      </c>
      <c r="C524" t="s" s="2">
        <v>2890</v>
      </c>
      <c r="D524" s="2">
        <f>HYPERLINK("https://my.zakupki.prom.ua/remote/dispatcher/state_contracting_view/14346513", "UA-2022-10-24-001350-a-b1")</f>
        <v/>
      </c>
      <c r="E524" t="s" s="1">
        <v>87</v>
      </c>
      <c r="F524" t="s" s="1">
        <v>2688</v>
      </c>
      <c r="G524" t="s" s="1">
        <v>2688</v>
      </c>
      <c r="H524" t="s" s="1">
        <v>1032</v>
      </c>
      <c r="I524" t="s" s="1">
        <v>2017</v>
      </c>
      <c r="J524" t="s" s="1">
        <v>1969</v>
      </c>
      <c r="K524" t="s" s="1">
        <v>317</v>
      </c>
      <c r="L524" t="s" s="1">
        <v>698</v>
      </c>
      <c r="M524" t="n" s="5">
        <v>1742.36</v>
      </c>
      <c r="N524" t="n" s="7">
        <v>44858.0</v>
      </c>
      <c r="O524" t="n" s="7">
        <v>44926.0</v>
      </c>
      <c r="P524" t="s" s="1">
        <v>3259</v>
      </c>
    </row>
    <row r="525" spans="1:16">
      <c r="A525" t="n" s="4">
        <v>521</v>
      </c>
      <c r="B525" s="2">
        <f>HYPERLINK("https://my.zakupki.prom.ua/remote/dispatcher/state_purchase_view/38149945", "UA-2022-10-25-006319-a")</f>
        <v/>
      </c>
      <c r="C525" t="s" s="2">
        <v>2890</v>
      </c>
      <c r="D525" s="2">
        <f>HYPERLINK("https://my.zakupki.prom.ua/remote/dispatcher/state_contracting_view/14366228", "UA-2022-10-25-006319-a-c1")</f>
        <v/>
      </c>
      <c r="E525" t="s" s="1">
        <v>1464</v>
      </c>
      <c r="F525" t="s" s="1">
        <v>2443</v>
      </c>
      <c r="G525" t="s" s="1">
        <v>2443</v>
      </c>
      <c r="H525" t="s" s="1">
        <v>650</v>
      </c>
      <c r="I525" t="s" s="1">
        <v>2017</v>
      </c>
      <c r="J525" t="s" s="1">
        <v>3124</v>
      </c>
      <c r="K525" t="s" s="1">
        <v>337</v>
      </c>
      <c r="L525" t="s" s="1">
        <v>494</v>
      </c>
      <c r="M525" t="n" s="5">
        <v>16320.0</v>
      </c>
      <c r="N525" t="n" s="7">
        <v>44858.0</v>
      </c>
      <c r="O525" t="n" s="7">
        <v>44926.0</v>
      </c>
      <c r="P525" t="s" s="1">
        <v>3259</v>
      </c>
    </row>
    <row r="526" spans="1:16">
      <c r="A526" t="n" s="4">
        <v>522</v>
      </c>
      <c r="B526" s="2">
        <f>HYPERLINK("https://my.zakupki.prom.ua/remote/dispatcher/state_purchase_view/38503020", "UA-2022-11-11-004174-a")</f>
        <v/>
      </c>
      <c r="C526" t="s" s="2">
        <v>2890</v>
      </c>
      <c r="D526" s="2">
        <f>HYPERLINK("https://my.zakupki.prom.ua/remote/dispatcher/state_contracting_view/14531974", "UA-2022-11-11-004174-a-b1")</f>
        <v/>
      </c>
      <c r="E526" t="s" s="1">
        <v>1782</v>
      </c>
      <c r="F526" t="s" s="1">
        <v>2666</v>
      </c>
      <c r="G526" t="s" s="1">
        <v>2021</v>
      </c>
      <c r="H526" t="s" s="1">
        <v>1024</v>
      </c>
      <c r="I526" t="s" s="1">
        <v>2017</v>
      </c>
      <c r="J526" t="s" s="1">
        <v>2859</v>
      </c>
      <c r="K526" t="s" s="1">
        <v>541</v>
      </c>
      <c r="L526" t="s" s="1">
        <v>1204</v>
      </c>
      <c r="M526" t="n" s="5">
        <v>600.0</v>
      </c>
      <c r="N526" t="n" s="7">
        <v>44876.0</v>
      </c>
      <c r="O526" t="n" s="7">
        <v>44926.0</v>
      </c>
      <c r="P526" t="s" s="1">
        <v>3259</v>
      </c>
    </row>
    <row r="527" spans="1:16">
      <c r="A527" t="n" s="4">
        <v>523</v>
      </c>
      <c r="B527" s="2">
        <f>HYPERLINK("https://my.zakupki.prom.ua/remote/dispatcher/state_purchase_view/37842086", "UA-2022-10-05-010153-a")</f>
        <v/>
      </c>
      <c r="C527" t="s" s="2">
        <v>2890</v>
      </c>
      <c r="D527" s="2">
        <f>HYPERLINK("https://my.zakupki.prom.ua/remote/dispatcher/state_contracting_view/14209903", "UA-2022-10-05-010153-a-c1")</f>
        <v/>
      </c>
      <c r="E527" t="s" s="1">
        <v>796</v>
      </c>
      <c r="F527" t="s" s="1">
        <v>2456</v>
      </c>
      <c r="G527" t="s" s="1">
        <v>1920</v>
      </c>
      <c r="H527" t="s" s="1">
        <v>650</v>
      </c>
      <c r="I527" t="s" s="1">
        <v>2017</v>
      </c>
      <c r="J527" t="s" s="1">
        <v>3113</v>
      </c>
      <c r="K527" t="s" s="1">
        <v>398</v>
      </c>
      <c r="L527" t="s" s="1">
        <v>1105</v>
      </c>
      <c r="M527" t="n" s="5">
        <v>138720.0</v>
      </c>
      <c r="N527" t="n" s="7">
        <v>44837.0</v>
      </c>
      <c r="O527" t="n" s="7">
        <v>44926.0</v>
      </c>
      <c r="P527" t="s" s="1">
        <v>3259</v>
      </c>
    </row>
    <row r="528" spans="1:16">
      <c r="A528" t="n" s="4">
        <v>524</v>
      </c>
      <c r="B528" s="2">
        <f>HYPERLINK("https://my.zakupki.prom.ua/remote/dispatcher/state_purchase_view/37774589", "UA-2022-09-30-005948-a")</f>
        <v/>
      </c>
      <c r="C528" t="s" s="2">
        <v>2890</v>
      </c>
      <c r="D528" s="2">
        <f>HYPERLINK("https://my.zakupki.prom.ua/remote/dispatcher/state_contracting_view/14177025", "UA-2022-09-30-005948-a-b1")</f>
        <v/>
      </c>
      <c r="E528" t="s" s="1">
        <v>1283</v>
      </c>
      <c r="F528" t="s" s="1">
        <v>2656</v>
      </c>
      <c r="G528" t="s" s="1">
        <v>2656</v>
      </c>
      <c r="H528" t="s" s="1">
        <v>1022</v>
      </c>
      <c r="I528" t="s" s="1">
        <v>2017</v>
      </c>
      <c r="J528" t="s" s="1">
        <v>2858</v>
      </c>
      <c r="K528" t="s" s="1">
        <v>580</v>
      </c>
      <c r="L528" t="s" s="1">
        <v>1100</v>
      </c>
      <c r="M528" t="n" s="5">
        <v>3870.0</v>
      </c>
      <c r="N528" t="n" s="7">
        <v>44834.0</v>
      </c>
      <c r="O528" t="n" s="7">
        <v>44926.0</v>
      </c>
      <c r="P528" t="s" s="1">
        <v>3259</v>
      </c>
    </row>
    <row r="529" spans="1:16">
      <c r="A529" t="n" s="4">
        <v>525</v>
      </c>
      <c r="B529" s="2">
        <f>HYPERLINK("https://my.zakupki.prom.ua/remote/dispatcher/state_purchase_view/37140619", "UA-2022-08-19-000268-a")</f>
        <v/>
      </c>
      <c r="C529" t="s" s="2">
        <v>2890</v>
      </c>
      <c r="D529" s="2">
        <f>HYPERLINK("https://my.zakupki.prom.ua/remote/dispatcher/state_contracting_view/13866590", "UA-2022-08-19-000268-a-b1")</f>
        <v/>
      </c>
      <c r="E529" t="s" s="1">
        <v>292</v>
      </c>
      <c r="F529" t="s" s="1">
        <v>2759</v>
      </c>
      <c r="G529" t="s" s="1">
        <v>2759</v>
      </c>
      <c r="H529" t="s" s="1">
        <v>1443</v>
      </c>
      <c r="I529" t="s" s="1">
        <v>2017</v>
      </c>
      <c r="J529" t="s" s="1">
        <v>2036</v>
      </c>
      <c r="K529" t="s" s="1">
        <v>266</v>
      </c>
      <c r="L529" t="s" s="1">
        <v>1005</v>
      </c>
      <c r="M529" t="n" s="5">
        <v>49900.0</v>
      </c>
      <c r="N529" t="n" s="7">
        <v>44792.0</v>
      </c>
      <c r="O529" t="n" s="7">
        <v>44926.0</v>
      </c>
      <c r="P529" t="s" s="1">
        <v>3259</v>
      </c>
    </row>
    <row r="530" spans="1:16">
      <c r="A530" t="n" s="4">
        <v>526</v>
      </c>
      <c r="B530" s="2">
        <f>HYPERLINK("https://my.zakupki.prom.ua/remote/dispatcher/state_purchase_view/36719259", "UA-2022-07-19-000320-a")</f>
        <v/>
      </c>
      <c r="C530" t="s" s="2">
        <v>2890</v>
      </c>
      <c r="D530" s="2">
        <f>HYPERLINK("https://my.zakupki.prom.ua/remote/dispatcher/state_contracting_view/13667169", "UA-2022-07-19-000320-a-b1")</f>
        <v/>
      </c>
      <c r="E530" t="s" s="1">
        <v>1521</v>
      </c>
      <c r="F530" t="s" s="1">
        <v>2722</v>
      </c>
      <c r="G530" t="s" s="1">
        <v>2722</v>
      </c>
      <c r="H530" t="s" s="1">
        <v>1320</v>
      </c>
      <c r="I530" t="s" s="1">
        <v>2017</v>
      </c>
      <c r="J530" t="s" s="1">
        <v>3133</v>
      </c>
      <c r="K530" t="s" s="1">
        <v>877</v>
      </c>
      <c r="L530" t="s" s="1">
        <v>162</v>
      </c>
      <c r="M530" t="n" s="5">
        <v>5200.0</v>
      </c>
      <c r="N530" t="n" s="7">
        <v>44760.0</v>
      </c>
      <c r="O530" t="n" s="7">
        <v>44926.0</v>
      </c>
      <c r="P530" t="s" s="1">
        <v>3259</v>
      </c>
    </row>
    <row r="531" spans="1:16">
      <c r="A531" t="n" s="4">
        <v>527</v>
      </c>
      <c r="B531" s="2">
        <f>HYPERLINK("https://my.zakupki.prom.ua/remote/dispatcher/state_purchase_view/36673167", "UA-2022-07-14-001207-a")</f>
        <v/>
      </c>
      <c r="C531" t="s" s="2">
        <v>2890</v>
      </c>
      <c r="D531" s="2">
        <f>HYPERLINK("https://my.zakupki.prom.ua/remote/dispatcher/state_contracting_view/13645848", "UA-2022-07-14-001207-a-b1")</f>
        <v/>
      </c>
      <c r="E531" t="s" s="1">
        <v>537</v>
      </c>
      <c r="F531" t="s" s="1">
        <v>2159</v>
      </c>
      <c r="G531" t="s" s="1">
        <v>2057</v>
      </c>
      <c r="H531" t="s" s="1">
        <v>28</v>
      </c>
      <c r="I531" t="s" s="1">
        <v>2017</v>
      </c>
      <c r="J531" t="s" s="1">
        <v>3237</v>
      </c>
      <c r="K531" t="s" s="1">
        <v>687</v>
      </c>
      <c r="L531" t="s" s="1">
        <v>735</v>
      </c>
      <c r="M531" t="n" s="5">
        <v>24700.0</v>
      </c>
      <c r="N531" t="n" s="7">
        <v>44754.0</v>
      </c>
      <c r="O531" t="n" s="7">
        <v>44926.0</v>
      </c>
      <c r="P531" t="s" s="1">
        <v>3259</v>
      </c>
    </row>
    <row r="532" spans="1:16">
      <c r="A532" t="n" s="4">
        <v>528</v>
      </c>
      <c r="B532" s="2">
        <f>HYPERLINK("https://my.zakupki.prom.ua/remote/dispatcher/state_purchase_view/36707266", "UA-2022-07-18-002559-a")</f>
        <v/>
      </c>
      <c r="C532" t="s" s="2">
        <v>2890</v>
      </c>
      <c r="D532" s="2">
        <f>HYPERLINK("https://my.zakupki.prom.ua/remote/dispatcher/state_contracting_view/13661917", "UA-2022-07-18-002559-a-b1")</f>
        <v/>
      </c>
      <c r="E532" t="s" s="1">
        <v>1317</v>
      </c>
      <c r="F532" t="s" s="1">
        <v>2551</v>
      </c>
      <c r="G532" t="s" s="1">
        <v>2551</v>
      </c>
      <c r="H532" t="s" s="1">
        <v>859</v>
      </c>
      <c r="I532" t="s" s="1">
        <v>2017</v>
      </c>
      <c r="J532" t="s" s="1">
        <v>2904</v>
      </c>
      <c r="K532" t="s" s="1">
        <v>688</v>
      </c>
      <c r="L532" t="s" s="1">
        <v>766</v>
      </c>
      <c r="M532" t="n" s="5">
        <v>85.5</v>
      </c>
      <c r="N532" t="n" s="7">
        <v>44760.0</v>
      </c>
      <c r="O532" t="n" s="7">
        <v>44926.0</v>
      </c>
      <c r="P532" t="s" s="1">
        <v>3259</v>
      </c>
    </row>
    <row r="533" spans="1:16">
      <c r="A533" t="n" s="4">
        <v>529</v>
      </c>
      <c r="B533" s="2">
        <f>HYPERLINK("https://my.zakupki.prom.ua/remote/dispatcher/state_purchase_view/36707617", "UA-2022-07-18-002740-a")</f>
        <v/>
      </c>
      <c r="C533" t="s" s="2">
        <v>2890</v>
      </c>
      <c r="D533" s="2">
        <f>HYPERLINK("https://my.zakupki.prom.ua/remote/dispatcher/state_contracting_view/13661713", "UA-2022-07-18-002740-a-b1")</f>
        <v/>
      </c>
      <c r="E533" t="s" s="1">
        <v>1676</v>
      </c>
      <c r="F533" t="s" s="1">
        <v>2134</v>
      </c>
      <c r="G533" t="s" s="1">
        <v>1955</v>
      </c>
      <c r="H533" t="s" s="1">
        <v>426</v>
      </c>
      <c r="I533" t="s" s="1">
        <v>2017</v>
      </c>
      <c r="J533" t="s" s="1">
        <v>3125</v>
      </c>
      <c r="K533" t="s" s="1">
        <v>690</v>
      </c>
      <c r="L533" t="s" s="1">
        <v>755</v>
      </c>
      <c r="M533" t="n" s="5">
        <v>2912.33</v>
      </c>
      <c r="N533" t="n" s="7">
        <v>44757.0</v>
      </c>
      <c r="O533" t="n" s="7">
        <v>44926.0</v>
      </c>
      <c r="P533" t="s" s="1">
        <v>3259</v>
      </c>
    </row>
    <row r="534" spans="1:16">
      <c r="A534" t="n" s="4">
        <v>530</v>
      </c>
      <c r="B534" s="2">
        <f>HYPERLINK("https://my.zakupki.prom.ua/remote/dispatcher/state_purchase_view/36743218", "UA-2022-07-20-003983-a")</f>
        <v/>
      </c>
      <c r="C534" t="s" s="2">
        <v>2890</v>
      </c>
      <c r="D534" s="2">
        <f>HYPERLINK("https://my.zakupki.prom.ua/remote/dispatcher/state_contracting_view/13678279", "UA-2022-07-20-003983-a-b1")</f>
        <v/>
      </c>
      <c r="E534" t="s" s="1">
        <v>1579</v>
      </c>
      <c r="F534" t="s" s="1">
        <v>2597</v>
      </c>
      <c r="G534" t="s" s="1">
        <v>2026</v>
      </c>
      <c r="H534" t="s" s="1">
        <v>914</v>
      </c>
      <c r="I534" t="s" s="1">
        <v>2017</v>
      </c>
      <c r="J534" t="s" s="1">
        <v>2904</v>
      </c>
      <c r="K534" t="s" s="1">
        <v>688</v>
      </c>
      <c r="L534" t="s" s="1">
        <v>829</v>
      </c>
      <c r="M534" t="n" s="5">
        <v>1131.25</v>
      </c>
      <c r="N534" t="n" s="7">
        <v>44762.0</v>
      </c>
      <c r="O534" t="n" s="7">
        <v>44926.0</v>
      </c>
      <c r="P534" t="s" s="1">
        <v>3259</v>
      </c>
    </row>
    <row r="535" spans="1:16">
      <c r="A535" t="n" s="4">
        <v>531</v>
      </c>
      <c r="B535" s="2">
        <f>HYPERLINK("https://my.zakupki.prom.ua/remote/dispatcher/state_purchase_view/36743775", "UA-2022-07-20-004241-a")</f>
        <v/>
      </c>
      <c r="C535" t="s" s="2">
        <v>2890</v>
      </c>
      <c r="D535" s="2">
        <f>HYPERLINK("https://my.zakupki.prom.ua/remote/dispatcher/state_contracting_view/13678555", "UA-2022-07-20-004241-a-b1")</f>
        <v/>
      </c>
      <c r="E535" t="s" s="1">
        <v>447</v>
      </c>
      <c r="F535" t="s" s="1">
        <v>2170</v>
      </c>
      <c r="G535" t="s" s="1">
        <v>2866</v>
      </c>
      <c r="H535" t="s" s="1">
        <v>69</v>
      </c>
      <c r="I535" t="s" s="1">
        <v>2017</v>
      </c>
      <c r="J535" t="s" s="1">
        <v>2904</v>
      </c>
      <c r="K535" t="s" s="1">
        <v>688</v>
      </c>
      <c r="L535" t="s" s="1">
        <v>839</v>
      </c>
      <c r="M535" t="n" s="5">
        <v>168.0</v>
      </c>
      <c r="N535" t="n" s="7">
        <v>44762.0</v>
      </c>
      <c r="O535" t="n" s="7">
        <v>44926.0</v>
      </c>
      <c r="P535" t="s" s="1">
        <v>3259</v>
      </c>
    </row>
    <row r="536" spans="1:16">
      <c r="A536" t="n" s="4">
        <v>532</v>
      </c>
      <c r="B536" s="2">
        <f>HYPERLINK("https://my.zakupki.prom.ua/remote/dispatcher/state_purchase_view/37398727", "UA-2022-09-07-008471-a")</f>
        <v/>
      </c>
      <c r="C536" t="s" s="2">
        <v>2890</v>
      </c>
      <c r="D536" s="2">
        <f>HYPERLINK("https://my.zakupki.prom.ua/remote/dispatcher/state_contracting_view/13992479", "UA-2022-09-07-008471-a-b1")</f>
        <v/>
      </c>
      <c r="E536" t="s" s="1">
        <v>1437</v>
      </c>
      <c r="F536" t="s" s="1">
        <v>2659</v>
      </c>
      <c r="G536" t="s" s="1">
        <v>2659</v>
      </c>
      <c r="H536" t="s" s="1">
        <v>1024</v>
      </c>
      <c r="I536" t="s" s="1">
        <v>2017</v>
      </c>
      <c r="J536" t="s" s="1">
        <v>2859</v>
      </c>
      <c r="K536" t="s" s="1">
        <v>541</v>
      </c>
      <c r="L536" t="s" s="1">
        <v>1039</v>
      </c>
      <c r="M536" t="n" s="5">
        <v>900.0</v>
      </c>
      <c r="N536" t="n" s="7">
        <v>44811.0</v>
      </c>
      <c r="O536" t="n" s="7">
        <v>44926.0</v>
      </c>
      <c r="P536" t="s" s="1">
        <v>3259</v>
      </c>
    </row>
    <row r="537" spans="1:16">
      <c r="A537" t="n" s="4">
        <v>533</v>
      </c>
      <c r="B537" s="2">
        <f>HYPERLINK("https://my.zakupki.prom.ua/remote/dispatcher/state_purchase_view/37588331", "UA-2022-09-20-002927-a")</f>
        <v/>
      </c>
      <c r="C537" t="s" s="2">
        <v>2890</v>
      </c>
      <c r="D537" s="2">
        <f>HYPERLINK("https://my.zakupki.prom.ua/remote/dispatcher/state_contracting_view/14084499", "UA-2022-09-20-002927-a-b1")</f>
        <v/>
      </c>
      <c r="E537" t="s" s="1">
        <v>1785</v>
      </c>
      <c r="F537" t="s" s="1">
        <v>2468</v>
      </c>
      <c r="G537" t="s" s="1">
        <v>2887</v>
      </c>
      <c r="H537" t="s" s="1">
        <v>650</v>
      </c>
      <c r="I537" t="s" s="1">
        <v>2017</v>
      </c>
      <c r="J537" t="s" s="1">
        <v>2923</v>
      </c>
      <c r="K537" t="s" s="1">
        <v>545</v>
      </c>
      <c r="L537" t="s" s="1">
        <v>1240</v>
      </c>
      <c r="M537" t="n" s="5">
        <v>9750.0</v>
      </c>
      <c r="N537" t="n" s="7">
        <v>44824.0</v>
      </c>
      <c r="O537" t="n" s="7">
        <v>44926.0</v>
      </c>
      <c r="P537" t="s" s="1">
        <v>3259</v>
      </c>
    </row>
    <row r="538" spans="1:16">
      <c r="A538" t="n" s="4">
        <v>534</v>
      </c>
      <c r="B538" s="2">
        <f>HYPERLINK("https://my.zakupki.prom.ua/remote/dispatcher/state_purchase_view/37709119", "UA-2022-09-27-004579-a")</f>
        <v/>
      </c>
      <c r="C538" t="s" s="2">
        <v>2890</v>
      </c>
      <c r="D538" s="2">
        <f>HYPERLINK("https://my.zakupki.prom.ua/remote/dispatcher/state_contracting_view/14144508", "UA-2022-09-27-004579-a-c1")</f>
        <v/>
      </c>
      <c r="E538" t="s" s="1">
        <v>1644</v>
      </c>
      <c r="F538" t="s" s="1">
        <v>2605</v>
      </c>
      <c r="G538" t="s" s="1">
        <v>2999</v>
      </c>
      <c r="H538" t="s" s="1">
        <v>919</v>
      </c>
      <c r="I538" t="s" s="1">
        <v>2017</v>
      </c>
      <c r="J538" t="s" s="1">
        <v>1927</v>
      </c>
      <c r="K538" t="s" s="1">
        <v>320</v>
      </c>
      <c r="L538" t="s" s="1">
        <v>1072</v>
      </c>
      <c r="M538" t="n" s="5">
        <v>211.0</v>
      </c>
      <c r="N538" t="n" s="7">
        <v>44831.0</v>
      </c>
      <c r="O538" t="n" s="7">
        <v>44926.0</v>
      </c>
      <c r="P538" t="s" s="1">
        <v>3259</v>
      </c>
    </row>
    <row r="539" spans="1:16">
      <c r="A539" t="n" s="4">
        <v>535</v>
      </c>
      <c r="B539" s="2">
        <f>HYPERLINK("https://my.zakupki.prom.ua/remote/dispatcher/state_purchase_view/36526015", "UA-2022-06-30-002781-a")</f>
        <v/>
      </c>
      <c r="C539" t="s" s="2">
        <v>2890</v>
      </c>
      <c r="D539" s="2">
        <f>HYPERLINK("https://my.zakupki.prom.ua/remote/dispatcher/state_contracting_view/13575500", "UA-2022-06-30-002781-a-b1")</f>
        <v/>
      </c>
      <c r="E539" t="s" s="1">
        <v>680</v>
      </c>
      <c r="F539" t="s" s="1">
        <v>2088</v>
      </c>
      <c r="G539" t="s" s="1">
        <v>2877</v>
      </c>
      <c r="H539" t="s" s="1">
        <v>274</v>
      </c>
      <c r="I539" t="s" s="1">
        <v>2017</v>
      </c>
      <c r="J539" t="s" s="1">
        <v>3237</v>
      </c>
      <c r="K539" t="s" s="1">
        <v>687</v>
      </c>
      <c r="L539" t="s" s="1">
        <v>718</v>
      </c>
      <c r="M539" t="n" s="5">
        <v>27980.0</v>
      </c>
      <c r="N539" t="n" s="7">
        <v>44740.0</v>
      </c>
      <c r="O539" t="n" s="7">
        <v>44926.0</v>
      </c>
      <c r="P539" t="s" s="1">
        <v>3259</v>
      </c>
    </row>
    <row r="540" spans="1:16">
      <c r="A540" t="n" s="4">
        <v>536</v>
      </c>
      <c r="B540" s="2">
        <f>HYPERLINK("https://my.zakupki.prom.ua/remote/dispatcher/state_purchase_view/37774311", "UA-2022-09-30-005807-a")</f>
        <v/>
      </c>
      <c r="C540" t="s" s="2">
        <v>2890</v>
      </c>
      <c r="D540" s="2">
        <f>HYPERLINK("https://my.zakupki.prom.ua/remote/dispatcher/state_contracting_view/14176812", "UA-2022-09-30-005807-a-b1")</f>
        <v/>
      </c>
      <c r="E540" t="s" s="1">
        <v>1762</v>
      </c>
      <c r="F540" t="s" s="1">
        <v>2211</v>
      </c>
      <c r="G540" t="s" s="1">
        <v>3220</v>
      </c>
      <c r="H540" t="s" s="1">
        <v>196</v>
      </c>
      <c r="I540" t="s" s="1">
        <v>2017</v>
      </c>
      <c r="J540" t="s" s="1">
        <v>3237</v>
      </c>
      <c r="K540" t="s" s="1">
        <v>687</v>
      </c>
      <c r="L540" t="s" s="1">
        <v>1099</v>
      </c>
      <c r="M540" t="n" s="5">
        <v>9000.0</v>
      </c>
      <c r="N540" t="n" s="7">
        <v>44834.0</v>
      </c>
      <c r="O540" t="n" s="7">
        <v>44926.0</v>
      </c>
      <c r="P540" t="s" s="1">
        <v>3259</v>
      </c>
    </row>
    <row r="541" spans="1:16">
      <c r="A541" t="n" s="4">
        <v>537</v>
      </c>
      <c r="B541" s="2">
        <f>HYPERLINK("https://my.zakupki.prom.ua/remote/dispatcher/state_purchase_view/36838070", "UA-2022-07-28-001446-a")</f>
        <v/>
      </c>
      <c r="C541" t="s" s="2">
        <v>2890</v>
      </c>
      <c r="D541" s="2">
        <f>HYPERLINK("https://my.zakupki.prom.ua/remote/dispatcher/state_contracting_view/13722948", "UA-2022-07-28-001446-a-b1")</f>
        <v/>
      </c>
      <c r="E541" t="s" s="1">
        <v>12</v>
      </c>
      <c r="F541" t="s" s="1">
        <v>2543</v>
      </c>
      <c r="G541" t="s" s="1">
        <v>2970</v>
      </c>
      <c r="H541" t="s" s="1">
        <v>786</v>
      </c>
      <c r="I541" t="s" s="1">
        <v>2017</v>
      </c>
      <c r="J541" t="s" s="1">
        <v>3227</v>
      </c>
      <c r="K541" t="s" s="1">
        <v>463</v>
      </c>
      <c r="L541" t="s" s="1">
        <v>905</v>
      </c>
      <c r="M541" t="n" s="5">
        <v>19400.0</v>
      </c>
      <c r="N541" t="n" s="7">
        <v>44770.0</v>
      </c>
      <c r="O541" t="n" s="7">
        <v>44926.0</v>
      </c>
      <c r="P541" t="s" s="1">
        <v>3259</v>
      </c>
    </row>
    <row r="542" spans="1:16">
      <c r="A542" t="n" s="4">
        <v>538</v>
      </c>
      <c r="B542" s="2">
        <f>HYPERLINK("https://my.zakupki.prom.ua/remote/dispatcher/state_purchase_view/35642725", "UA-2022-03-14-003311-a")</f>
        <v/>
      </c>
      <c r="C542" t="s" s="2">
        <v>2890</v>
      </c>
      <c r="D542" s="2">
        <f>HYPERLINK("https://my.zakupki.prom.ua/remote/dispatcher/state_contracting_view/13120030", "UA-2022-03-14-003311-a-a1")</f>
        <v/>
      </c>
      <c r="E542" t="s" s="1">
        <v>894</v>
      </c>
      <c r="F542" t="s" s="1">
        <v>2348</v>
      </c>
      <c r="G542" t="s" s="1">
        <v>3252</v>
      </c>
      <c r="H542" t="s" s="1">
        <v>638</v>
      </c>
      <c r="I542" t="s" s="1">
        <v>2017</v>
      </c>
      <c r="J542" t="s" s="1">
        <v>3113</v>
      </c>
      <c r="K542" t="s" s="1">
        <v>398</v>
      </c>
      <c r="L542" t="s" s="1">
        <v>208</v>
      </c>
      <c r="M542" t="n" s="5">
        <v>4553.83</v>
      </c>
      <c r="N542" t="n" s="7">
        <v>44634.0</v>
      </c>
      <c r="O542" t="n" s="7">
        <v>44926.0</v>
      </c>
      <c r="P542" t="s" s="1">
        <v>3259</v>
      </c>
    </row>
    <row r="543" spans="1:16">
      <c r="A543" t="n" s="4">
        <v>539</v>
      </c>
      <c r="B543" s="2">
        <f>HYPERLINK("https://my.zakupki.prom.ua/remote/dispatcher/state_purchase_view/35939393", "UA-2022-04-15-002789-b")</f>
        <v/>
      </c>
      <c r="C543" t="s" s="2">
        <v>2890</v>
      </c>
      <c r="D543" s="2">
        <f>HYPERLINK("https://my.zakupki.prom.ua/remote/dispatcher/state_contracting_view/13275393", "UA-2022-04-15-002789-b-b1")</f>
        <v/>
      </c>
      <c r="E543" t="s" s="1">
        <v>1846</v>
      </c>
      <c r="F543" t="s" s="1">
        <v>2121</v>
      </c>
      <c r="G543" t="s" s="1">
        <v>3280</v>
      </c>
      <c r="H543" t="s" s="1">
        <v>638</v>
      </c>
      <c r="I543" t="s" s="1">
        <v>2017</v>
      </c>
      <c r="J543" t="s" s="1">
        <v>3113</v>
      </c>
      <c r="K543" t="s" s="1">
        <v>398</v>
      </c>
      <c r="L543" t="s" s="1">
        <v>376</v>
      </c>
      <c r="M543" t="n" s="5">
        <v>13504.67</v>
      </c>
      <c r="N543" t="n" s="7">
        <v>44666.0</v>
      </c>
      <c r="O543" t="n" s="7">
        <v>44926.0</v>
      </c>
      <c r="P543" t="s" s="1">
        <v>3259</v>
      </c>
    </row>
    <row r="544" spans="1:16">
      <c r="A544" t="n" s="4">
        <v>540</v>
      </c>
      <c r="B544" s="2">
        <f>HYPERLINK("https://my.zakupki.prom.ua/remote/dispatcher/state_purchase_view/35843496", "UA-2022-04-06-000604-b")</f>
        <v/>
      </c>
      <c r="C544" t="s" s="2">
        <v>2890</v>
      </c>
      <c r="D544" s="2">
        <f>HYPERLINK("https://my.zakupki.prom.ua/remote/dispatcher/state_contracting_view/13226343", "UA-2022-04-06-000604-b-b1")</f>
        <v/>
      </c>
      <c r="E544" t="s" s="1">
        <v>1757</v>
      </c>
      <c r="F544" t="s" s="1">
        <v>2238</v>
      </c>
      <c r="G544" t="s" s="1">
        <v>2238</v>
      </c>
      <c r="H544" t="s" s="1">
        <v>370</v>
      </c>
      <c r="I544" t="s" s="1">
        <v>2017</v>
      </c>
      <c r="J544" t="s" s="1">
        <v>3098</v>
      </c>
      <c r="K544" t="s" s="1">
        <v>652</v>
      </c>
      <c r="L544" t="s" s="1">
        <v>105</v>
      </c>
      <c r="M544" t="n" s="5">
        <v>700.0</v>
      </c>
      <c r="N544" t="n" s="7">
        <v>44656.0</v>
      </c>
      <c r="O544" t="n" s="7">
        <v>44926.0</v>
      </c>
      <c r="P544" t="s" s="1">
        <v>3259</v>
      </c>
    </row>
    <row r="545" spans="1:16">
      <c r="A545" t="n" s="4">
        <v>541</v>
      </c>
      <c r="B545" s="2">
        <f>HYPERLINK("https://my.zakupki.prom.ua/remote/dispatcher/state_purchase_view/35790553", "UA-2022-03-30-002309-b")</f>
        <v/>
      </c>
      <c r="C545" t="s" s="2">
        <v>2890</v>
      </c>
      <c r="D545" s="2">
        <f>HYPERLINK("https://my.zakupki.prom.ua/remote/dispatcher/state_contracting_view/13201178", "UA-2022-03-30-002309-b-b1")</f>
        <v/>
      </c>
      <c r="E545" t="s" s="1">
        <v>1651</v>
      </c>
      <c r="F545" t="s" s="1">
        <v>2117</v>
      </c>
      <c r="G545" t="s" s="1">
        <v>2117</v>
      </c>
      <c r="H545" t="s" s="1">
        <v>919</v>
      </c>
      <c r="I545" t="s" s="1">
        <v>2017</v>
      </c>
      <c r="J545" t="s" s="1">
        <v>1927</v>
      </c>
      <c r="K545" t="s" s="1">
        <v>320</v>
      </c>
      <c r="L545" t="s" s="1">
        <v>265</v>
      </c>
      <c r="M545" t="n" s="5">
        <v>80.0</v>
      </c>
      <c r="N545" t="n" s="7">
        <v>44651.0</v>
      </c>
      <c r="O545" t="n" s="7">
        <v>44926.0</v>
      </c>
      <c r="P545" t="s" s="1">
        <v>3259</v>
      </c>
    </row>
    <row r="546" spans="1:16">
      <c r="A546" t="n" s="4">
        <v>542</v>
      </c>
      <c r="B546" s="2">
        <f>HYPERLINK("https://my.zakupki.prom.ua/remote/dispatcher/state_purchase_view/35712288", "UA-2022-03-22-000697-a")</f>
        <v/>
      </c>
      <c r="C546" t="s" s="2">
        <v>2890</v>
      </c>
      <c r="D546" s="2">
        <f>HYPERLINK("https://my.zakupki.prom.ua/remote/dispatcher/state_contracting_view/13157090", "UA-2022-03-22-000697-a-a1")</f>
        <v/>
      </c>
      <c r="E546" t="s" s="1">
        <v>1137</v>
      </c>
      <c r="F546" t="s" s="1">
        <v>2152</v>
      </c>
      <c r="G546" t="s" s="1">
        <v>2152</v>
      </c>
      <c r="H546" t="s" s="1">
        <v>1319</v>
      </c>
      <c r="I546" t="s" s="1">
        <v>2017</v>
      </c>
      <c r="J546" t="s" s="1">
        <v>1907</v>
      </c>
      <c r="K546" t="s" s="1">
        <v>263</v>
      </c>
      <c r="L546" t="s" s="1">
        <v>247</v>
      </c>
      <c r="M546" t="n" s="5">
        <v>484.41</v>
      </c>
      <c r="N546" t="n" s="7">
        <v>44641.0</v>
      </c>
      <c r="O546" t="n" s="7">
        <v>44926.0</v>
      </c>
      <c r="P546" t="s" s="1">
        <v>3259</v>
      </c>
    </row>
    <row r="547" spans="1:16">
      <c r="A547" t="n" s="4">
        <v>543</v>
      </c>
      <c r="B547" s="2">
        <f>HYPERLINK("https://my.zakupki.prom.ua/remote/dispatcher/state_purchase_view/35938780", "UA-2022-04-15-002612-b")</f>
        <v/>
      </c>
      <c r="C547" t="s" s="2">
        <v>2890</v>
      </c>
      <c r="D547" s="2">
        <f>HYPERLINK("https://my.zakupki.prom.ua/remote/dispatcher/state_contracting_view/13274974", "UA-2022-04-15-002612-b-b1")</f>
        <v/>
      </c>
      <c r="E547" t="s" s="1">
        <v>617</v>
      </c>
      <c r="F547" t="s" s="1">
        <v>2536</v>
      </c>
      <c r="G547" t="s" s="1">
        <v>3258</v>
      </c>
      <c r="H547" t="s" s="1">
        <v>780</v>
      </c>
      <c r="I547" t="s" s="1">
        <v>2017</v>
      </c>
      <c r="J547" t="s" s="1">
        <v>2016</v>
      </c>
      <c r="K547" t="s" s="1">
        <v>474</v>
      </c>
      <c r="L547" t="s" s="1">
        <v>369</v>
      </c>
      <c r="M547" t="n" s="5">
        <v>8578.0</v>
      </c>
      <c r="N547" t="n" s="7">
        <v>44666.0</v>
      </c>
      <c r="O547" t="n" s="7">
        <v>44926.0</v>
      </c>
      <c r="P547" t="s" s="1">
        <v>3259</v>
      </c>
    </row>
    <row r="548" spans="1:16">
      <c r="A548" t="n" s="4">
        <v>544</v>
      </c>
      <c r="B548" s="2">
        <f>HYPERLINK("https://my.zakupki.prom.ua/remote/dispatcher/state_purchase_view/35223755", "UA-2022-02-16-003103-b")</f>
        <v/>
      </c>
      <c r="C548" t="s" s="2">
        <v>2890</v>
      </c>
      <c r="D548" s="2">
        <f>HYPERLINK("https://my.zakupki.prom.ua/remote/dispatcher/state_contracting_view/12913426", "UA-2022-02-16-003103-b-b1")</f>
        <v/>
      </c>
      <c r="E548" t="s" s="1">
        <v>169</v>
      </c>
      <c r="F548" t="s" s="1">
        <v>2219</v>
      </c>
      <c r="G548" t="s" s="1">
        <v>3167</v>
      </c>
      <c r="H548" t="s" s="1">
        <v>199</v>
      </c>
      <c r="I548" t="s" s="1">
        <v>2017</v>
      </c>
      <c r="J548" t="s" s="1">
        <v>3237</v>
      </c>
      <c r="K548" t="s" s="1">
        <v>687</v>
      </c>
      <c r="L548" t="s" s="1">
        <v>1497</v>
      </c>
      <c r="M548" t="n" s="5">
        <v>36828.0</v>
      </c>
      <c r="N548" t="n" s="7">
        <v>44607.0</v>
      </c>
      <c r="O548" t="n" s="7">
        <v>44926.0</v>
      </c>
      <c r="P548" t="s" s="1">
        <v>3259</v>
      </c>
    </row>
    <row r="549" spans="1:16">
      <c r="A549" t="n" s="4">
        <v>545</v>
      </c>
      <c r="B549" s="2">
        <f>HYPERLINK("https://my.zakupki.prom.ua/remote/dispatcher/state_purchase_view/35221547", "UA-2022-02-16-002502-b")</f>
        <v/>
      </c>
      <c r="C549" t="s" s="2">
        <v>2890</v>
      </c>
      <c r="D549" s="2">
        <f>HYPERLINK("https://my.zakupki.prom.ua/remote/dispatcher/state_contracting_view/12914364", "UA-2022-02-16-002502-b-b1")</f>
        <v/>
      </c>
      <c r="E549" t="s" s="1">
        <v>1722</v>
      </c>
      <c r="F549" t="s" s="1">
        <v>2409</v>
      </c>
      <c r="G549" t="s" s="1">
        <v>1985</v>
      </c>
      <c r="H549" t="s" s="1">
        <v>650</v>
      </c>
      <c r="I549" t="s" s="1">
        <v>2017</v>
      </c>
      <c r="J549" t="s" s="1">
        <v>3059</v>
      </c>
      <c r="K549" t="s" s="1">
        <v>652</v>
      </c>
      <c r="L549" t="s" s="1">
        <v>896</v>
      </c>
      <c r="M549" t="n" s="5">
        <v>4531.5</v>
      </c>
      <c r="N549" t="n" s="7">
        <v>44607.0</v>
      </c>
      <c r="O549" t="n" s="7">
        <v>44926.0</v>
      </c>
      <c r="P549" t="s" s="1">
        <v>3259</v>
      </c>
    </row>
    <row r="550" spans="1:16">
      <c r="A550" t="n" s="4">
        <v>546</v>
      </c>
      <c r="B550" s="2">
        <f>HYPERLINK("https://my.zakupki.prom.ua/remote/dispatcher/state_purchase_view/35598766", "UA-2022-03-09-001649-a")</f>
        <v/>
      </c>
      <c r="C550" t="s" s="2">
        <v>2890</v>
      </c>
      <c r="D550" s="2">
        <f>HYPERLINK("https://my.zakupki.prom.ua/remote/dispatcher/state_contracting_view/13095873", "UA-2022-03-09-001649-a-a1")</f>
        <v/>
      </c>
      <c r="E550" t="s" s="1">
        <v>1397</v>
      </c>
      <c r="F550" t="s" s="1">
        <v>2742</v>
      </c>
      <c r="G550" t="s" s="1">
        <v>2742</v>
      </c>
      <c r="H550" t="s" s="1">
        <v>1420</v>
      </c>
      <c r="I550" t="s" s="1">
        <v>2017</v>
      </c>
      <c r="J550" t="s" s="1">
        <v>1969</v>
      </c>
      <c r="K550" t="s" s="1">
        <v>317</v>
      </c>
      <c r="L550" t="s" s="1">
        <v>840</v>
      </c>
      <c r="M550" t="n" s="5">
        <v>851.46</v>
      </c>
      <c r="N550" t="n" s="7">
        <v>44629.0</v>
      </c>
      <c r="O550" t="n" s="7">
        <v>44926.0</v>
      </c>
      <c r="P550" t="s" s="1">
        <v>3259</v>
      </c>
    </row>
    <row r="551" spans="1:16">
      <c r="A551" t="n" s="4">
        <v>547</v>
      </c>
      <c r="B551" s="2">
        <f>HYPERLINK("https://my.zakupki.prom.ua/remote/dispatcher/state_purchase_view/35556440", "UA-2022-03-02-002909-a")</f>
        <v/>
      </c>
      <c r="C551" t="s" s="2">
        <v>2890</v>
      </c>
      <c r="D551" s="2">
        <f>HYPERLINK("https://my.zakupki.prom.ua/remote/dispatcher/state_contracting_view/13073457", "UA-2022-03-02-002909-a-a1")</f>
        <v/>
      </c>
      <c r="E551" t="s" s="1">
        <v>542</v>
      </c>
      <c r="F551" t="s" s="1">
        <v>2441</v>
      </c>
      <c r="G551" t="s" s="1">
        <v>2441</v>
      </c>
      <c r="H551" t="s" s="1">
        <v>650</v>
      </c>
      <c r="I551" t="s" s="1">
        <v>2017</v>
      </c>
      <c r="J551" t="s" s="1">
        <v>3113</v>
      </c>
      <c r="K551" t="s" s="1">
        <v>398</v>
      </c>
      <c r="L551" t="s" s="1">
        <v>144</v>
      </c>
      <c r="M551" t="n" s="5">
        <v>11813.4</v>
      </c>
      <c r="N551" t="n" s="7">
        <v>44622.0</v>
      </c>
      <c r="O551" t="n" s="7">
        <v>44926.0</v>
      </c>
      <c r="P551" t="s" s="1">
        <v>3259</v>
      </c>
    </row>
    <row r="552" spans="1:16">
      <c r="A552" t="n" s="4">
        <v>548</v>
      </c>
      <c r="B552" s="2">
        <f>HYPERLINK("https://my.zakupki.prom.ua/remote/dispatcher/state_purchase_view/34805743", "UA-2022-02-03-010176-b")</f>
        <v/>
      </c>
      <c r="C552" t="s" s="2">
        <v>2890</v>
      </c>
      <c r="D552" s="2">
        <f>HYPERLINK("https://my.zakupki.prom.ua/remote/dispatcher/state_contracting_view/13110727", "UA-2022-02-03-010176-b-b1")</f>
        <v/>
      </c>
      <c r="E552" t="s" s="1">
        <v>1329</v>
      </c>
      <c r="F552" t="s" s="1">
        <v>2794</v>
      </c>
      <c r="G552" t="s" s="1">
        <v>2794</v>
      </c>
      <c r="H552" t="s" s="1">
        <v>641</v>
      </c>
      <c r="I552" t="s" s="1">
        <v>1933</v>
      </c>
      <c r="J552" t="s" s="1">
        <v>3086</v>
      </c>
      <c r="K552" t="s" s="1">
        <v>758</v>
      </c>
      <c r="L552" t="s" s="1">
        <v>191</v>
      </c>
      <c r="M552" t="n" s="5">
        <v>1626400.0</v>
      </c>
      <c r="N552" t="n" s="7">
        <v>44631.0</v>
      </c>
      <c r="O552" t="n" s="7">
        <v>44926.0</v>
      </c>
      <c r="P552" t="s" s="1">
        <v>3259</v>
      </c>
    </row>
    <row r="553" spans="1:16">
      <c r="A553" t="n" s="4">
        <v>549</v>
      </c>
      <c r="B553" s="2">
        <f>HYPERLINK("https://my.zakupki.prom.ua/remote/dispatcher/state_purchase_view/35691462", "UA-2022-03-18-002020-a")</f>
        <v/>
      </c>
      <c r="C553" t="s" s="2">
        <v>2890</v>
      </c>
      <c r="D553" s="2">
        <f>HYPERLINK("https://my.zakupki.prom.ua/remote/dispatcher/state_contracting_view/13146215", "UA-2022-03-18-002020-a-a1")</f>
        <v/>
      </c>
      <c r="E553" t="s" s="1">
        <v>1753</v>
      </c>
      <c r="F553" t="s" s="1">
        <v>2437</v>
      </c>
      <c r="G553" t="s" s="1">
        <v>2437</v>
      </c>
      <c r="H553" t="s" s="1">
        <v>650</v>
      </c>
      <c r="I553" t="s" s="1">
        <v>2017</v>
      </c>
      <c r="J553" t="s" s="1">
        <v>3113</v>
      </c>
      <c r="K553" t="s" s="1">
        <v>398</v>
      </c>
      <c r="L553" t="s" s="1">
        <v>228</v>
      </c>
      <c r="M553" t="n" s="5">
        <v>1200.0</v>
      </c>
      <c r="N553" t="n" s="7">
        <v>44637.0</v>
      </c>
      <c r="O553" t="n" s="7">
        <v>44926.0</v>
      </c>
      <c r="P553" t="s" s="1">
        <v>3259</v>
      </c>
    </row>
    <row r="554" spans="1:16">
      <c r="A554" t="n" s="4">
        <v>550</v>
      </c>
      <c r="B554" s="2">
        <f>HYPERLINK("https://my.zakupki.prom.ua/remote/dispatcher/state_purchase_view/35704883", "UA-2022-03-21-002670-a")</f>
        <v/>
      </c>
      <c r="C554" t="s" s="2">
        <v>2890</v>
      </c>
      <c r="D554" s="2">
        <f>HYPERLINK("https://my.zakupki.prom.ua/remote/dispatcher/state_contracting_view/13153808", "UA-2022-03-21-002670-a-a1")</f>
        <v/>
      </c>
      <c r="E554" t="s" s="1">
        <v>1291</v>
      </c>
      <c r="F554" t="s" s="1">
        <v>2207</v>
      </c>
      <c r="G554" t="s" s="1">
        <v>2207</v>
      </c>
      <c r="H554" t="s" s="1">
        <v>195</v>
      </c>
      <c r="I554" t="s" s="1">
        <v>2017</v>
      </c>
      <c r="J554" t="s" s="1">
        <v>3237</v>
      </c>
      <c r="K554" t="s" s="1">
        <v>687</v>
      </c>
      <c r="L554" t="s" s="1">
        <v>237</v>
      </c>
      <c r="M554" t="n" s="5">
        <v>1932.0</v>
      </c>
      <c r="N554" t="n" s="7">
        <v>44641.0</v>
      </c>
      <c r="O554" t="n" s="7">
        <v>44926.0</v>
      </c>
      <c r="P554" t="s" s="1">
        <v>3259</v>
      </c>
    </row>
    <row r="555" spans="1:16">
      <c r="A555" t="n" s="4">
        <v>551</v>
      </c>
      <c r="B555" s="2">
        <f>HYPERLINK("https://my.zakupki.prom.ua/remote/dispatcher/state_purchase_view/36158176", "UA-2022-05-18-004705-a")</f>
        <v/>
      </c>
      <c r="C555" t="s" s="2">
        <v>2890</v>
      </c>
      <c r="D555" s="2">
        <f>HYPERLINK("https://my.zakupki.prom.ua/remote/dispatcher/state_contracting_view/13387077", "UA-2022-05-18-004705-a-b1")</f>
        <v/>
      </c>
      <c r="E555" t="s" s="1">
        <v>1726</v>
      </c>
      <c r="F555" t="s" s="1">
        <v>2707</v>
      </c>
      <c r="G555" t="s" s="1">
        <v>2707</v>
      </c>
      <c r="H555" t="s" s="1">
        <v>1314</v>
      </c>
      <c r="I555" t="s" s="1">
        <v>2017</v>
      </c>
      <c r="J555" t="s" s="1">
        <v>3105</v>
      </c>
      <c r="K555" t="s" s="1">
        <v>675</v>
      </c>
      <c r="L555" t="s" s="1">
        <v>1903</v>
      </c>
      <c r="M555" t="n" s="5">
        <v>5000.0</v>
      </c>
      <c r="N555" t="n" s="7">
        <v>44699.0</v>
      </c>
      <c r="O555" t="n" s="7">
        <v>44926.0</v>
      </c>
      <c r="P555" t="s" s="1">
        <v>3259</v>
      </c>
    </row>
    <row r="556" spans="1:16">
      <c r="A556" t="n" s="4">
        <v>552</v>
      </c>
      <c r="B556" s="2">
        <f>HYPERLINK("https://my.zakupki.prom.ua/remote/dispatcher/state_purchase_view/36158096", "UA-2022-05-18-004688-a")</f>
        <v/>
      </c>
      <c r="C556" t="s" s="2">
        <v>2890</v>
      </c>
      <c r="D556" s="2">
        <f>HYPERLINK("https://my.zakupki.prom.ua/remote/dispatcher/state_contracting_view/13387082", "UA-2022-05-18-004688-a-b1")</f>
        <v/>
      </c>
      <c r="E556" t="s" s="1">
        <v>74</v>
      </c>
      <c r="F556" t="s" s="1">
        <v>2706</v>
      </c>
      <c r="G556" t="s" s="1">
        <v>2706</v>
      </c>
      <c r="H556" t="s" s="1">
        <v>1314</v>
      </c>
      <c r="I556" t="s" s="1">
        <v>2017</v>
      </c>
      <c r="J556" t="s" s="1">
        <v>3105</v>
      </c>
      <c r="K556" t="s" s="1">
        <v>675</v>
      </c>
      <c r="L556" t="s" s="1">
        <v>1902</v>
      </c>
      <c r="M556" t="n" s="5">
        <v>5000.0</v>
      </c>
      <c r="N556" t="n" s="7">
        <v>44699.0</v>
      </c>
      <c r="O556" t="n" s="7">
        <v>44926.0</v>
      </c>
      <c r="P556" t="s" s="1">
        <v>3259</v>
      </c>
    </row>
    <row r="557" spans="1:16">
      <c r="A557" t="n" s="4">
        <v>553</v>
      </c>
      <c r="B557" s="2">
        <f>HYPERLINK("https://my.zakupki.prom.ua/remote/dispatcher/state_purchase_view/34087917", "UA-2022-01-14-004136-a")</f>
        <v/>
      </c>
      <c r="C557" t="s" s="2">
        <v>2890</v>
      </c>
      <c r="D557" s="2">
        <f>HYPERLINK("https://my.zakupki.prom.ua/remote/dispatcher/state_contracting_view/12436064", "UA-2022-01-14-004136-a-a1")</f>
        <v/>
      </c>
      <c r="E557" t="s" s="1">
        <v>1778</v>
      </c>
      <c r="F557" t="s" s="1">
        <v>2750</v>
      </c>
      <c r="G557" t="s" s="1">
        <v>2750</v>
      </c>
      <c r="H557" t="s" s="1">
        <v>1421</v>
      </c>
      <c r="I557" t="s" s="1">
        <v>2017</v>
      </c>
      <c r="J557" t="s" s="1">
        <v>3139</v>
      </c>
      <c r="K557" t="s" s="1">
        <v>746</v>
      </c>
      <c r="L557" t="s" s="1">
        <v>125</v>
      </c>
      <c r="M557" t="n" s="5">
        <v>3382.0</v>
      </c>
      <c r="N557" t="n" s="7">
        <v>44575.0</v>
      </c>
      <c r="O557" t="n" s="7">
        <v>44926.0</v>
      </c>
      <c r="P557" t="s" s="1">
        <v>3259</v>
      </c>
    </row>
    <row r="558" spans="1:16">
      <c r="A558" t="n" s="4">
        <v>554</v>
      </c>
      <c r="B558" s="2">
        <f>HYPERLINK("https://my.zakupki.prom.ua/remote/dispatcher/state_purchase_view/33235536", "UA-2021-12-16-014243-c")</f>
        <v/>
      </c>
      <c r="C558" t="s" s="2">
        <v>2890</v>
      </c>
      <c r="D558" s="2">
        <f>HYPERLINK("https://my.zakupki.prom.ua/remote/dispatcher/state_contracting_view/12375119", "UA-2021-12-16-014243-c-c1")</f>
        <v/>
      </c>
      <c r="E558" t="s" s="1">
        <v>1405</v>
      </c>
      <c r="F558" t="s" s="1">
        <v>2072</v>
      </c>
      <c r="G558" t="s" s="1">
        <v>2071</v>
      </c>
      <c r="H558" t="s" s="1">
        <v>943</v>
      </c>
      <c r="I558" t="s" s="1">
        <v>3022</v>
      </c>
      <c r="J558" t="s" s="1">
        <v>1874</v>
      </c>
      <c r="K558" t="s" s="1">
        <v>606</v>
      </c>
      <c r="L558" t="s" s="1">
        <v>1418</v>
      </c>
      <c r="M558" t="n" s="5">
        <v>261389.0</v>
      </c>
      <c r="N558" t="n" s="7">
        <v>44572.0</v>
      </c>
      <c r="O558" t="n" s="7">
        <v>44926.0</v>
      </c>
      <c r="P558" t="s" s="1">
        <v>3259</v>
      </c>
    </row>
    <row r="559" spans="1:16">
      <c r="A559" t="n" s="4">
        <v>555</v>
      </c>
      <c r="B559" s="2">
        <f>HYPERLINK("https://my.zakupki.prom.ua/remote/dispatcher/state_purchase_view/37669291", "UA-2022-09-23-007503-a")</f>
        <v/>
      </c>
      <c r="C559" t="s" s="2">
        <v>2890</v>
      </c>
      <c r="D559" s="2">
        <f>HYPERLINK("https://my.zakupki.prom.ua/remote/dispatcher/state_contracting_view/14124408", "UA-2022-09-23-007503-a-b1")</f>
        <v/>
      </c>
      <c r="E559" t="s" s="1">
        <v>36</v>
      </c>
      <c r="F559" t="s" s="1">
        <v>2533</v>
      </c>
      <c r="G559" t="s" s="1">
        <v>2893</v>
      </c>
      <c r="H559" t="s" s="1">
        <v>776</v>
      </c>
      <c r="I559" t="s" s="1">
        <v>2017</v>
      </c>
      <c r="J559" t="s" s="1">
        <v>2984</v>
      </c>
      <c r="K559" t="s" s="1">
        <v>513</v>
      </c>
      <c r="L559" t="s" s="1">
        <v>299</v>
      </c>
      <c r="M559" t="n" s="5">
        <v>1436.0</v>
      </c>
      <c r="N559" t="n" s="7">
        <v>44826.0</v>
      </c>
      <c r="O559" t="n" s="7">
        <v>44926.0</v>
      </c>
      <c r="P559" t="s" s="1">
        <v>3259</v>
      </c>
    </row>
    <row r="560" spans="1:16">
      <c r="A560" t="n" s="4">
        <v>556</v>
      </c>
      <c r="B560" s="2">
        <f>HYPERLINK("https://my.zakupki.prom.ua/remote/dispatcher/state_purchase_view/36708613", "UA-2022-07-18-003240-a")</f>
        <v/>
      </c>
      <c r="C560" t="s" s="2">
        <v>2890</v>
      </c>
      <c r="D560" s="2">
        <f>HYPERLINK("https://my.zakupki.prom.ua/remote/dispatcher/state_contracting_view/13662418", "UA-2022-07-18-003240-a-b1")</f>
        <v/>
      </c>
      <c r="E560" t="s" s="1">
        <v>285</v>
      </c>
      <c r="F560" t="s" s="1">
        <v>2689</v>
      </c>
      <c r="G560" t="s" s="1">
        <v>2689</v>
      </c>
      <c r="H560" t="s" s="1">
        <v>1033</v>
      </c>
      <c r="I560" t="s" s="1">
        <v>2017</v>
      </c>
      <c r="J560" t="s" s="1">
        <v>297</v>
      </c>
      <c r="K560" t="s" s="1">
        <v>158</v>
      </c>
      <c r="L560" t="s" s="1">
        <v>853</v>
      </c>
      <c r="M560" t="n" s="5">
        <v>2400.0</v>
      </c>
      <c r="N560" t="n" s="7">
        <v>44760.0</v>
      </c>
      <c r="O560" t="n" s="7">
        <v>44926.0</v>
      </c>
      <c r="P560" t="s" s="1">
        <v>3259</v>
      </c>
    </row>
    <row r="561" spans="1:16">
      <c r="A561" t="n" s="4">
        <v>557</v>
      </c>
      <c r="B561" s="2">
        <f>HYPERLINK("https://my.zakupki.prom.ua/remote/dispatcher/state_purchase_view/36715778", "UA-2022-07-18-007009-a")</f>
        <v/>
      </c>
      <c r="C561" t="s" s="2">
        <v>2890</v>
      </c>
      <c r="D561" s="2">
        <f>HYPERLINK("https://my.zakupki.prom.ua/remote/dispatcher/state_contracting_view/13665664", "UA-2022-07-18-007009-a-b1")</f>
        <v/>
      </c>
      <c r="E561" t="s" s="1">
        <v>1227</v>
      </c>
      <c r="F561" t="s" s="1">
        <v>2601</v>
      </c>
      <c r="G561" t="s" s="1">
        <v>916</v>
      </c>
      <c r="H561" t="s" s="1">
        <v>915</v>
      </c>
      <c r="I561" t="s" s="1">
        <v>2017</v>
      </c>
      <c r="J561" t="s" s="1">
        <v>1927</v>
      </c>
      <c r="K561" t="s" s="1">
        <v>320</v>
      </c>
      <c r="L561" t="s" s="1">
        <v>789</v>
      </c>
      <c r="M561" t="n" s="5">
        <v>3555.0</v>
      </c>
      <c r="N561" t="n" s="7">
        <v>44760.0</v>
      </c>
      <c r="O561" t="n" s="7">
        <v>44926.0</v>
      </c>
      <c r="P561" t="s" s="1">
        <v>3259</v>
      </c>
    </row>
    <row r="562" spans="1:16">
      <c r="A562" t="n" s="4">
        <v>558</v>
      </c>
      <c r="B562" s="2">
        <f>HYPERLINK("https://my.zakupki.prom.ua/remote/dispatcher/state_purchase_view/36743844", "UA-2022-07-20-004308-a")</f>
        <v/>
      </c>
      <c r="C562" t="s" s="2">
        <v>2890</v>
      </c>
      <c r="D562" s="2">
        <f>HYPERLINK("https://my.zakupki.prom.ua/remote/dispatcher/state_contracting_view/13678731", "UA-2022-07-20-004308-a-b1")</f>
        <v/>
      </c>
      <c r="E562" t="s" s="1">
        <v>1147</v>
      </c>
      <c r="F562" t="s" s="1">
        <v>2291</v>
      </c>
      <c r="G562" t="s" s="1">
        <v>1910</v>
      </c>
      <c r="H562" t="s" s="1">
        <v>578</v>
      </c>
      <c r="I562" t="s" s="1">
        <v>2017</v>
      </c>
      <c r="J562" t="s" s="1">
        <v>2904</v>
      </c>
      <c r="K562" t="s" s="1">
        <v>688</v>
      </c>
      <c r="L562" t="s" s="1">
        <v>841</v>
      </c>
      <c r="M562" t="n" s="5">
        <v>495.0</v>
      </c>
      <c r="N562" t="n" s="7">
        <v>44762.0</v>
      </c>
      <c r="O562" t="n" s="7">
        <v>44926.0</v>
      </c>
      <c r="P562" t="s" s="1">
        <v>3259</v>
      </c>
    </row>
    <row r="563" spans="1:16">
      <c r="A563" t="n" s="4">
        <v>559</v>
      </c>
      <c r="B563" s="2">
        <f>HYPERLINK("https://my.zakupki.prom.ua/remote/dispatcher/state_purchase_view/36694120", "UA-2022-07-15-003551-a")</f>
        <v/>
      </c>
      <c r="C563" t="s" s="2">
        <v>2890</v>
      </c>
      <c r="D563" s="2">
        <f>HYPERLINK("https://my.zakupki.prom.ua/remote/dispatcher/state_contracting_view/13655567", "UA-2022-07-15-003551-a-b1")</f>
        <v/>
      </c>
      <c r="E563" t="s" s="1">
        <v>1714</v>
      </c>
      <c r="F563" t="s" s="1">
        <v>2260</v>
      </c>
      <c r="G563" t="s" s="1">
        <v>1882</v>
      </c>
      <c r="H563" t="s" s="1">
        <v>409</v>
      </c>
      <c r="I563" t="s" s="1">
        <v>2017</v>
      </c>
      <c r="J563" t="s" s="1">
        <v>3098</v>
      </c>
      <c r="K563" t="s" s="1">
        <v>652</v>
      </c>
      <c r="L563" t="s" s="1">
        <v>748</v>
      </c>
      <c r="M563" t="n" s="5">
        <v>1250.0</v>
      </c>
      <c r="N563" t="n" s="7">
        <v>44755.0</v>
      </c>
      <c r="O563" t="n" s="7">
        <v>44926.0</v>
      </c>
      <c r="P563" t="s" s="1">
        <v>3259</v>
      </c>
    </row>
    <row r="564" spans="1:16">
      <c r="A564" t="n" s="4">
        <v>560</v>
      </c>
      <c r="B564" s="2">
        <f>HYPERLINK("https://my.zakupki.prom.ua/remote/dispatcher/state_purchase_view/37024791", "UA-2022-08-11-004219-a")</f>
        <v/>
      </c>
      <c r="C564" t="s" s="2">
        <v>2890</v>
      </c>
      <c r="D564" s="2">
        <f>HYPERLINK("https://my.zakupki.prom.ua/remote/dispatcher/state_contracting_view/13811040", "UA-2022-08-11-004219-a-b1")</f>
        <v/>
      </c>
      <c r="E564" t="s" s="1">
        <v>1406</v>
      </c>
      <c r="F564" t="s" s="1">
        <v>2196</v>
      </c>
      <c r="G564" t="s" s="1">
        <v>2196</v>
      </c>
      <c r="H564" t="s" s="1">
        <v>183</v>
      </c>
      <c r="I564" t="s" s="1">
        <v>2017</v>
      </c>
      <c r="J564" t="s" s="1">
        <v>3237</v>
      </c>
      <c r="K564" t="s" s="1">
        <v>687</v>
      </c>
      <c r="L564" t="s" s="1">
        <v>977</v>
      </c>
      <c r="M564" t="n" s="5">
        <v>12400.0</v>
      </c>
      <c r="N564" t="n" s="7">
        <v>44782.0</v>
      </c>
      <c r="O564" t="n" s="7">
        <v>44926.0</v>
      </c>
      <c r="P564" t="s" s="1">
        <v>3259</v>
      </c>
    </row>
    <row r="565" spans="1:16">
      <c r="A565" t="n" s="4">
        <v>561</v>
      </c>
      <c r="B565" s="2">
        <f>HYPERLINK("https://my.zakupki.prom.ua/remote/dispatcher/state_purchase_view/37119717", "UA-2022-08-18-000437-a")</f>
        <v/>
      </c>
      <c r="C565" t="s" s="2">
        <v>2890</v>
      </c>
      <c r="D565" s="2">
        <f>HYPERLINK("https://my.zakupki.prom.ua/remote/dispatcher/state_contracting_view/13856407", "UA-2022-08-18-000437-a-b1")</f>
        <v/>
      </c>
      <c r="E565" t="s" s="1">
        <v>1463</v>
      </c>
      <c r="F565" t="s" s="1">
        <v>2290</v>
      </c>
      <c r="G565" t="s" s="1">
        <v>2290</v>
      </c>
      <c r="H565" t="s" s="1">
        <v>576</v>
      </c>
      <c r="I565" t="s" s="1">
        <v>2017</v>
      </c>
      <c r="J565" t="s" s="1">
        <v>1950</v>
      </c>
      <c r="K565" t="s" s="1">
        <v>676</v>
      </c>
      <c r="L565" t="s" s="1">
        <v>350</v>
      </c>
      <c r="M565" t="n" s="5">
        <v>11217.9</v>
      </c>
      <c r="N565" t="n" s="7">
        <v>44790.0</v>
      </c>
      <c r="O565" t="n" s="7">
        <v>44926.0</v>
      </c>
      <c r="P565" t="s" s="1">
        <v>3259</v>
      </c>
    </row>
    <row r="566" spans="1:16">
      <c r="A566" t="n" s="4">
        <v>562</v>
      </c>
      <c r="B566" s="2">
        <f>HYPERLINK("https://my.zakupki.prom.ua/remote/dispatcher/state_purchase_view/37160199", "UA-2022-08-22-000642-a")</f>
        <v/>
      </c>
      <c r="C566" t="s" s="2">
        <v>2890</v>
      </c>
      <c r="D566" s="2">
        <f>HYPERLINK("https://my.zakupki.prom.ua/remote/dispatcher/state_contracting_view/13876022", "UA-2022-08-22-000642-a-b1")</f>
        <v/>
      </c>
      <c r="E566" t="s" s="1">
        <v>170</v>
      </c>
      <c r="F566" t="s" s="1">
        <v>2786</v>
      </c>
      <c r="G566" t="s" s="1">
        <v>2786</v>
      </c>
      <c r="H566" t="s" s="1">
        <v>1523</v>
      </c>
      <c r="I566" t="s" s="1">
        <v>2017</v>
      </c>
      <c r="J566" t="s" s="1">
        <v>1971</v>
      </c>
      <c r="K566" t="s" s="1">
        <v>23</v>
      </c>
      <c r="L566" t="s" s="1">
        <v>37</v>
      </c>
      <c r="M566" t="n" s="5">
        <v>14961.6</v>
      </c>
      <c r="N566" t="n" s="7">
        <v>44795.0</v>
      </c>
      <c r="O566" t="n" s="7">
        <v>44926.0</v>
      </c>
      <c r="P566" t="s" s="1">
        <v>3259</v>
      </c>
    </row>
    <row r="567" spans="1:16">
      <c r="A567" t="n" s="4">
        <v>563</v>
      </c>
      <c r="B567" s="2">
        <f>HYPERLINK("https://my.zakupki.prom.ua/remote/dispatcher/state_purchase_view/37325246", "UA-2022-09-02-003370-a")</f>
        <v/>
      </c>
      <c r="C567" t="s" s="2">
        <v>2890</v>
      </c>
      <c r="D567" s="2">
        <f>HYPERLINK("https://my.zakupki.prom.ua/remote/dispatcher/state_contracting_view/13957331", "UA-2022-09-02-003370-a-b1")</f>
        <v/>
      </c>
      <c r="E567" t="s" s="1">
        <v>1698</v>
      </c>
      <c r="F567" t="s" s="1">
        <v>2293</v>
      </c>
      <c r="G567" t="s" s="1">
        <v>3242</v>
      </c>
      <c r="H567" t="s" s="1">
        <v>579</v>
      </c>
      <c r="I567" t="s" s="1">
        <v>2017</v>
      </c>
      <c r="J567" t="s" s="1">
        <v>3145</v>
      </c>
      <c r="K567" t="s" s="1">
        <v>495</v>
      </c>
      <c r="L567" t="s" s="1">
        <v>3050</v>
      </c>
      <c r="M567" t="n" s="5">
        <v>381.0</v>
      </c>
      <c r="N567" t="n" s="7">
        <v>44806.0</v>
      </c>
      <c r="O567" t="n" s="7">
        <v>44926.0</v>
      </c>
      <c r="P567" t="s" s="1">
        <v>3259</v>
      </c>
    </row>
    <row r="568" spans="1:16">
      <c r="A568" t="n" s="4">
        <v>564</v>
      </c>
      <c r="B568" s="2">
        <f>HYPERLINK("https://my.zakupki.prom.ua/remote/dispatcher/state_purchase_view/37322127", "UA-2022-09-02-001774-a")</f>
        <v/>
      </c>
      <c r="C568" t="s" s="2">
        <v>2890</v>
      </c>
      <c r="D568" s="2">
        <f>HYPERLINK("https://my.zakupki.prom.ua/remote/dispatcher/state_contracting_view/13955314", "UA-2022-09-02-001774-a-b1")</f>
        <v/>
      </c>
      <c r="E568" t="s" s="1">
        <v>1557</v>
      </c>
      <c r="F568" t="s" s="1">
        <v>2309</v>
      </c>
      <c r="G568" t="s" s="1">
        <v>2309</v>
      </c>
      <c r="H568" t="s" s="1">
        <v>584</v>
      </c>
      <c r="I568" t="s" s="1">
        <v>2017</v>
      </c>
      <c r="J568" t="s" s="1">
        <v>2918</v>
      </c>
      <c r="K568" t="s" s="1">
        <v>438</v>
      </c>
      <c r="L568" t="s" s="1">
        <v>1026</v>
      </c>
      <c r="M568" t="n" s="5">
        <v>9800.13</v>
      </c>
      <c r="N568" t="n" s="7">
        <v>44806.0</v>
      </c>
      <c r="O568" t="n" s="7">
        <v>44926.0</v>
      </c>
      <c r="P568" t="s" s="1">
        <v>3259</v>
      </c>
    </row>
    <row r="569" spans="1:16">
      <c r="A569" t="n" s="4">
        <v>565</v>
      </c>
      <c r="B569" s="2">
        <f>HYPERLINK("https://my.zakupki.prom.ua/remote/dispatcher/state_purchase_view/37489509", "UA-2022-09-13-009695-a")</f>
        <v/>
      </c>
      <c r="C569" t="s" s="2">
        <v>2890</v>
      </c>
      <c r="D569" s="2">
        <f>HYPERLINK("https://my.zakupki.prom.ua/remote/dispatcher/state_contracting_view/14036348", "UA-2022-09-13-009695-a-b1")</f>
        <v/>
      </c>
      <c r="E569" t="s" s="1">
        <v>972</v>
      </c>
      <c r="F569" t="s" s="1">
        <v>2800</v>
      </c>
      <c r="G569" t="s" s="1">
        <v>1873</v>
      </c>
      <c r="H569" t="s" s="1">
        <v>650</v>
      </c>
      <c r="I569" t="s" s="1">
        <v>2017</v>
      </c>
      <c r="J569" t="s" s="1">
        <v>3124</v>
      </c>
      <c r="K569" t="s" s="1">
        <v>337</v>
      </c>
      <c r="L569" t="s" s="1">
        <v>460</v>
      </c>
      <c r="M569" t="n" s="5">
        <v>37980.0</v>
      </c>
      <c r="N569" t="n" s="7">
        <v>44816.0</v>
      </c>
      <c r="O569" t="n" s="7">
        <v>44926.0</v>
      </c>
      <c r="P569" t="s" s="1">
        <v>3259</v>
      </c>
    </row>
    <row r="570" spans="1:16">
      <c r="A570" t="n" s="4">
        <v>566</v>
      </c>
      <c r="B570" s="2">
        <f>HYPERLINK("https://my.zakupki.prom.ua/remote/dispatcher/state_purchase_view/37934856", "UA-2022-10-12-004525-a")</f>
        <v/>
      </c>
      <c r="C570" t="s" s="2">
        <v>2890</v>
      </c>
      <c r="D570" s="2">
        <f>HYPERLINK("https://my.zakupki.prom.ua/remote/dispatcher/state_contracting_view/14255001", "UA-2022-10-12-004525-a-a1")</f>
        <v/>
      </c>
      <c r="E570" t="s" s="1">
        <v>1145</v>
      </c>
      <c r="F570" t="s" s="1">
        <v>2738</v>
      </c>
      <c r="G570" t="s" s="1">
        <v>2738</v>
      </c>
      <c r="H570" t="s" s="1">
        <v>1373</v>
      </c>
      <c r="I570" t="s" s="1">
        <v>2017</v>
      </c>
      <c r="J570" t="s" s="1">
        <v>1292</v>
      </c>
      <c r="K570" t="s" s="1">
        <v>750</v>
      </c>
      <c r="L570" t="s" s="1">
        <v>1294</v>
      </c>
      <c r="M570" t="n" s="5">
        <v>4081.71</v>
      </c>
      <c r="N570" t="n" s="7">
        <v>44846.0</v>
      </c>
      <c r="O570" t="n" s="7">
        <v>44926.0</v>
      </c>
      <c r="P570" t="s" s="1">
        <v>3259</v>
      </c>
    </row>
    <row r="571" spans="1:16">
      <c r="A571" t="n" s="4">
        <v>567</v>
      </c>
      <c r="B571" s="2">
        <f>HYPERLINK("https://my.zakupki.prom.ua/remote/dispatcher/state_purchase_view/39739325", "UA-2022-12-26-008016-a")</f>
        <v/>
      </c>
      <c r="C571" t="s" s="2">
        <v>2890</v>
      </c>
      <c r="D571" s="2">
        <f>HYPERLINK("https://my.zakupki.prom.ua/remote/dispatcher/state_contracting_view/15109158", "UA-2022-12-26-008016-a-c1")</f>
        <v/>
      </c>
      <c r="E571" t="s" s="1">
        <v>1800</v>
      </c>
      <c r="F571" t="s" s="1">
        <v>2630</v>
      </c>
      <c r="G571" t="s" s="1">
        <v>2005</v>
      </c>
      <c r="H571" t="s" s="1">
        <v>932</v>
      </c>
      <c r="I571" t="s" s="1">
        <v>2017</v>
      </c>
      <c r="J571" t="s" s="1">
        <v>2929</v>
      </c>
      <c r="K571" t="s" s="1">
        <v>688</v>
      </c>
      <c r="L571" t="s" s="1">
        <v>1350</v>
      </c>
      <c r="M571" t="n" s="5">
        <v>228.0</v>
      </c>
      <c r="N571" t="n" s="7">
        <v>44921.0</v>
      </c>
      <c r="O571" t="n" s="7">
        <v>44926.0</v>
      </c>
      <c r="P571" t="s" s="1">
        <v>3259</v>
      </c>
    </row>
    <row r="572" spans="1:16">
      <c r="A572" t="n" s="4">
        <v>568</v>
      </c>
      <c r="B572" s="2">
        <f>HYPERLINK("https://my.zakupki.prom.ua/remote/dispatcher/state_purchase_view/39741600", "UA-2022-12-26-009179-a")</f>
        <v/>
      </c>
      <c r="C572" t="s" s="2">
        <v>2890</v>
      </c>
      <c r="D572" s="2">
        <f>HYPERLINK("https://my.zakupki.prom.ua/remote/dispatcher/state_contracting_view/15110414", "UA-2022-12-26-009179-a-a1")</f>
        <v/>
      </c>
      <c r="E572" t="s" s="1">
        <v>1797</v>
      </c>
      <c r="F572" t="s" s="1">
        <v>2182</v>
      </c>
      <c r="G572" t="s" s="1">
        <v>1980</v>
      </c>
      <c r="H572" t="s" s="1">
        <v>166</v>
      </c>
      <c r="I572" t="s" s="1">
        <v>2017</v>
      </c>
      <c r="J572" t="s" s="1">
        <v>2929</v>
      </c>
      <c r="K572" t="s" s="1">
        <v>688</v>
      </c>
      <c r="L572" t="s" s="1">
        <v>1355</v>
      </c>
      <c r="M572" t="n" s="5">
        <v>288.0</v>
      </c>
      <c r="N572" t="n" s="7">
        <v>44921.0</v>
      </c>
      <c r="O572" t="n" s="7">
        <v>44926.0</v>
      </c>
      <c r="P572" t="s" s="1">
        <v>3259</v>
      </c>
    </row>
    <row r="573" spans="1:16">
      <c r="A573" t="n" s="4">
        <v>569</v>
      </c>
      <c r="B573" s="2">
        <f>HYPERLINK("https://my.zakupki.prom.ua/remote/dispatcher/state_purchase_view/38620288", "UA-2022-11-17-001938-a")</f>
        <v/>
      </c>
      <c r="C573" t="s" s="2">
        <v>2890</v>
      </c>
      <c r="D573" s="2">
        <f>HYPERLINK("https://my.zakupki.prom.ua/remote/dispatcher/state_contracting_view/14586093", "UA-2022-11-17-001938-a-a1")</f>
        <v/>
      </c>
      <c r="E573" t="s" s="1">
        <v>128</v>
      </c>
      <c r="F573" t="s" s="1">
        <v>2446</v>
      </c>
      <c r="G573" t="s" s="1">
        <v>2446</v>
      </c>
      <c r="H573" t="s" s="1">
        <v>650</v>
      </c>
      <c r="I573" t="s" s="1">
        <v>2017</v>
      </c>
      <c r="J573" t="s" s="1">
        <v>3098</v>
      </c>
      <c r="K573" t="s" s="1">
        <v>652</v>
      </c>
      <c r="L573" t="s" s="1">
        <v>434</v>
      </c>
      <c r="M573" t="n" s="5">
        <v>17000.0</v>
      </c>
      <c r="N573" t="n" s="7">
        <v>44881.0</v>
      </c>
      <c r="O573" t="n" s="7">
        <v>44926.0</v>
      </c>
      <c r="P573" t="s" s="1">
        <v>3259</v>
      </c>
    </row>
    <row r="574" spans="1:16">
      <c r="A574" t="n" s="4">
        <v>570</v>
      </c>
      <c r="B574" s="2">
        <f>HYPERLINK("https://my.zakupki.prom.ua/remote/dispatcher/state_purchase_view/38679395", "UA-2022-11-21-000571-a")</f>
        <v/>
      </c>
      <c r="C574" t="s" s="2">
        <v>2890</v>
      </c>
      <c r="D574" s="2">
        <f>HYPERLINK("https://my.zakupki.prom.ua/remote/dispatcher/state_contracting_view/14613568", "UA-2022-11-21-000571-a-b1")</f>
        <v/>
      </c>
      <c r="E574" t="s" s="1">
        <v>715</v>
      </c>
      <c r="F574" t="s" s="1">
        <v>2754</v>
      </c>
      <c r="G574" t="s" s="1">
        <v>2882</v>
      </c>
      <c r="H574" t="s" s="1">
        <v>1423</v>
      </c>
      <c r="I574" t="s" s="1">
        <v>2017</v>
      </c>
      <c r="J574" t="s" s="1">
        <v>2926</v>
      </c>
      <c r="K574" t="s" s="1">
        <v>828</v>
      </c>
      <c r="L574" t="s" s="1">
        <v>950</v>
      </c>
      <c r="M574" t="n" s="5">
        <v>5320.0</v>
      </c>
      <c r="N574" t="n" s="7">
        <v>44883.0</v>
      </c>
      <c r="O574" t="n" s="7">
        <v>44926.0</v>
      </c>
      <c r="P574" t="s" s="1">
        <v>3259</v>
      </c>
    </row>
    <row r="575" spans="1:16">
      <c r="A575" t="n" s="4">
        <v>571</v>
      </c>
      <c r="B575" s="2">
        <f>HYPERLINK("https://my.zakupki.prom.ua/remote/dispatcher/state_purchase_view/38150630", "UA-2022-10-25-006611-a")</f>
        <v/>
      </c>
      <c r="C575" t="s" s="2">
        <v>2890</v>
      </c>
      <c r="D575" s="2">
        <f>HYPERLINK("https://my.zakupki.prom.ua/remote/dispatcher/state_contracting_view/14366632", "UA-2022-10-25-006611-a-a1")</f>
        <v/>
      </c>
      <c r="E575" t="s" s="1">
        <v>1687</v>
      </c>
      <c r="F575" t="s" s="1">
        <v>2259</v>
      </c>
      <c r="G575" t="s" s="1">
        <v>2259</v>
      </c>
      <c r="H575" t="s" s="1">
        <v>408</v>
      </c>
      <c r="I575" t="s" s="1">
        <v>2017</v>
      </c>
      <c r="J575" t="s" s="1">
        <v>1927</v>
      </c>
      <c r="K575" t="s" s="1">
        <v>320</v>
      </c>
      <c r="L575" t="s" s="1">
        <v>1168</v>
      </c>
      <c r="M575" t="n" s="5">
        <v>164.0</v>
      </c>
      <c r="N575" t="n" s="7">
        <v>44859.0</v>
      </c>
      <c r="O575" t="n" s="7">
        <v>44926.0</v>
      </c>
      <c r="P575" t="s" s="1">
        <v>3259</v>
      </c>
    </row>
    <row r="576" spans="1:16">
      <c r="A576" t="n" s="4">
        <v>572</v>
      </c>
      <c r="B576" s="2">
        <f>HYPERLINK("https://my.zakupki.prom.ua/remote/dispatcher/state_purchase_view/38115606", "UA-2022-10-24-001399-a")</f>
        <v/>
      </c>
      <c r="C576" t="s" s="2">
        <v>2890</v>
      </c>
      <c r="D576" s="2">
        <f>HYPERLINK("https://my.zakupki.prom.ua/remote/dispatcher/state_contracting_view/14347086", "UA-2022-10-24-001399-a-b1")</f>
        <v/>
      </c>
      <c r="E576" t="s" s="1">
        <v>1582</v>
      </c>
      <c r="F576" t="s" s="1">
        <v>2686</v>
      </c>
      <c r="G576" t="s" s="1">
        <v>3287</v>
      </c>
      <c r="H576" t="s" s="1">
        <v>1031</v>
      </c>
      <c r="I576" t="s" s="1">
        <v>2017</v>
      </c>
      <c r="J576" t="s" s="1">
        <v>3146</v>
      </c>
      <c r="K576" t="s" s="1">
        <v>608</v>
      </c>
      <c r="L576" t="s" s="1">
        <v>1923</v>
      </c>
      <c r="M576" t="n" s="5">
        <v>882.0</v>
      </c>
      <c r="N576" t="n" s="7">
        <v>44858.0</v>
      </c>
      <c r="O576" t="n" s="7">
        <v>44926.0</v>
      </c>
      <c r="P576" t="s" s="1">
        <v>3259</v>
      </c>
    </row>
    <row r="577" spans="1:16">
      <c r="A577" t="n" s="4">
        <v>573</v>
      </c>
      <c r="B577" s="2">
        <f>HYPERLINK("https://my.zakupki.prom.ua/remote/dispatcher/state_purchase_view/38151636", "UA-2022-10-25-007129-a")</f>
        <v/>
      </c>
      <c r="C577" t="s" s="2">
        <v>2890</v>
      </c>
      <c r="D577" s="2">
        <f>HYPERLINK("https://my.zakupki.prom.ua/remote/dispatcher/state_contracting_view/14366816", "UA-2022-10-25-007129-a-c1")</f>
        <v/>
      </c>
      <c r="E577" t="s" s="1">
        <v>210</v>
      </c>
      <c r="F577" t="s" s="1">
        <v>2596</v>
      </c>
      <c r="G577" t="s" s="1">
        <v>3265</v>
      </c>
      <c r="H577" t="s" s="1">
        <v>914</v>
      </c>
      <c r="I577" t="s" s="1">
        <v>2017</v>
      </c>
      <c r="J577" t="s" s="1">
        <v>1927</v>
      </c>
      <c r="K577" t="s" s="1">
        <v>320</v>
      </c>
      <c r="L577" t="s" s="1">
        <v>1175</v>
      </c>
      <c r="M577" t="n" s="5">
        <v>940.0</v>
      </c>
      <c r="N577" t="n" s="7">
        <v>44859.0</v>
      </c>
      <c r="O577" t="n" s="7">
        <v>44926.0</v>
      </c>
      <c r="P577" t="s" s="1">
        <v>3259</v>
      </c>
    </row>
    <row r="578" spans="1:16">
      <c r="A578" t="n" s="4">
        <v>574</v>
      </c>
      <c r="B578" s="2">
        <f>HYPERLINK("https://my.zakupki.prom.ua/remote/dispatcher/state_purchase_view/38023278", "UA-2022-10-18-003170-a")</f>
        <v/>
      </c>
      <c r="C578" t="s" s="2">
        <v>2890</v>
      </c>
      <c r="D578" s="2">
        <f>HYPERLINK("https://my.zakupki.prom.ua/remote/dispatcher/state_contracting_view/14298659", "UA-2022-10-18-003170-a-b1")</f>
        <v/>
      </c>
      <c r="E578" t="s" s="1">
        <v>1334</v>
      </c>
      <c r="F578" t="s" s="1">
        <v>2547</v>
      </c>
      <c r="G578" t="s" s="1">
        <v>2898</v>
      </c>
      <c r="H578" t="s" s="1">
        <v>790</v>
      </c>
      <c r="I578" t="s" s="1">
        <v>2017</v>
      </c>
      <c r="J578" t="s" s="1">
        <v>2033</v>
      </c>
      <c r="K578" t="s" s="1">
        <v>485</v>
      </c>
      <c r="L578" t="s" s="1">
        <v>1126</v>
      </c>
      <c r="M578" t="n" s="5">
        <v>18815.0</v>
      </c>
      <c r="N578" t="n" s="7">
        <v>44851.0</v>
      </c>
      <c r="O578" t="n" s="7">
        <v>44926.0</v>
      </c>
      <c r="P578" t="s" s="1">
        <v>3259</v>
      </c>
    </row>
    <row r="579" spans="1:16">
      <c r="A579" t="n" s="4">
        <v>575</v>
      </c>
      <c r="B579" s="2">
        <f>HYPERLINK("https://my.zakupki.prom.ua/remote/dispatcher/state_purchase_view/39535235", "UA-2022-12-20-008463-a")</f>
        <v/>
      </c>
      <c r="C579" t="s" s="2">
        <v>2890</v>
      </c>
      <c r="D579" s="2">
        <f>HYPERLINK("https://my.zakupki.prom.ua/remote/dispatcher/state_contracting_view/15010960", "UA-2022-12-20-008463-a-a1")</f>
        <v/>
      </c>
      <c r="E579" t="s" s="1">
        <v>1727</v>
      </c>
      <c r="F579" t="s" s="1">
        <v>2458</v>
      </c>
      <c r="G579" t="s" s="1">
        <v>1948</v>
      </c>
      <c r="H579" t="s" s="1">
        <v>650</v>
      </c>
      <c r="I579" t="s" s="1">
        <v>2017</v>
      </c>
      <c r="J579" t="s" s="1">
        <v>3124</v>
      </c>
      <c r="K579" t="s" s="1">
        <v>337</v>
      </c>
      <c r="L579" t="s" s="1">
        <v>593</v>
      </c>
      <c r="M579" t="n" s="5">
        <v>14856.0</v>
      </c>
      <c r="N579" t="n" s="7">
        <v>44914.0</v>
      </c>
      <c r="O579" t="n" s="7">
        <v>44926.0</v>
      </c>
      <c r="P579" t="s" s="1">
        <v>3259</v>
      </c>
    </row>
    <row r="580" spans="1:16">
      <c r="A580" t="n" s="4">
        <v>576</v>
      </c>
      <c r="B580" s="2">
        <f>HYPERLINK("https://my.zakupki.prom.ua/remote/dispatcher/state_purchase_view/39356383", "UA-2022-12-14-015842-a")</f>
        <v/>
      </c>
      <c r="C580" t="s" s="2">
        <v>2890</v>
      </c>
      <c r="D580" s="2">
        <f>HYPERLINK("https://my.zakupki.prom.ua/remote/dispatcher/state_contracting_view/14925624", "UA-2022-12-14-015842-a-c1")</f>
        <v/>
      </c>
      <c r="E580" t="s" s="1">
        <v>1718</v>
      </c>
      <c r="F580" t="s" s="1">
        <v>2357</v>
      </c>
      <c r="G580" t="s" s="1">
        <v>2931</v>
      </c>
      <c r="H580" t="s" s="1">
        <v>638</v>
      </c>
      <c r="I580" t="s" s="1">
        <v>2017</v>
      </c>
      <c r="J580" t="s" s="1">
        <v>3113</v>
      </c>
      <c r="K580" t="s" s="1">
        <v>398</v>
      </c>
      <c r="L580" t="s" s="1">
        <v>1318</v>
      </c>
      <c r="M580" t="n" s="5">
        <v>235.4</v>
      </c>
      <c r="N580" t="n" s="7">
        <v>44907.0</v>
      </c>
      <c r="O580" t="n" s="7">
        <v>44926.0</v>
      </c>
      <c r="P580" t="s" s="1">
        <v>3259</v>
      </c>
    </row>
    <row r="581" spans="1:16">
      <c r="A581" t="n" s="4">
        <v>577</v>
      </c>
      <c r="B581" s="2">
        <f>HYPERLINK("https://my.zakupki.prom.ua/remote/dispatcher/state_purchase_view/39549611", "UA-2022-12-20-015285-a")</f>
        <v/>
      </c>
      <c r="C581" t="s" s="2">
        <v>2890</v>
      </c>
      <c r="D581" s="2">
        <f>HYPERLINK("https://my.zakupki.prom.ua/remote/dispatcher/state_contracting_view/15017376", "UA-2022-12-20-015285-a-a1")</f>
        <v/>
      </c>
      <c r="E581" t="s" s="1">
        <v>880</v>
      </c>
      <c r="F581" t="s" s="1">
        <v>2360</v>
      </c>
      <c r="G581" t="s" s="1">
        <v>1897</v>
      </c>
      <c r="H581" t="s" s="1">
        <v>639</v>
      </c>
      <c r="I581" t="s" s="1">
        <v>2017</v>
      </c>
      <c r="J581" t="s" s="1">
        <v>3106</v>
      </c>
      <c r="K581" t="s" s="1">
        <v>585</v>
      </c>
      <c r="L581" t="s" s="1">
        <v>1323</v>
      </c>
      <c r="M581" t="n" s="5">
        <v>455985.09</v>
      </c>
      <c r="N581" t="n" s="7">
        <v>44915.0</v>
      </c>
      <c r="O581" t="n" s="7">
        <v>44926.0</v>
      </c>
      <c r="P581" t="s" s="1">
        <v>3259</v>
      </c>
    </row>
    <row r="582" spans="1:16">
      <c r="A582" t="n" s="4">
        <v>578</v>
      </c>
      <c r="B582" s="2">
        <f>HYPERLINK("https://my.zakupki.prom.ua/remote/dispatcher/state_purchase_view/36487230", "UA-2022-06-27-000943-a")</f>
        <v/>
      </c>
      <c r="C582" t="s" s="2">
        <v>2890</v>
      </c>
      <c r="D582" s="2">
        <f>HYPERLINK("https://my.zakupki.prom.ua/remote/dispatcher/state_contracting_view/13556519", "UA-2022-06-27-000943-a-b1")</f>
        <v/>
      </c>
      <c r="E582" t="s" s="1">
        <v>797</v>
      </c>
      <c r="F582" t="s" s="1">
        <v>2301</v>
      </c>
      <c r="G582" t="s" s="1">
        <v>2301</v>
      </c>
      <c r="H582" t="s" s="1">
        <v>582</v>
      </c>
      <c r="I582" t="s" s="1">
        <v>2017</v>
      </c>
      <c r="J582" t="s" s="1">
        <v>3125</v>
      </c>
      <c r="K582" t="s" s="1">
        <v>690</v>
      </c>
      <c r="L582" t="s" s="1">
        <v>691</v>
      </c>
      <c r="M582" t="n" s="5">
        <v>29232.0</v>
      </c>
      <c r="N582" t="n" s="7">
        <v>44739.0</v>
      </c>
      <c r="O582" t="n" s="7">
        <v>44926.0</v>
      </c>
      <c r="P582" t="s" s="1">
        <v>3259</v>
      </c>
    </row>
    <row r="583" spans="1:16">
      <c r="A583" t="n" s="4">
        <v>579</v>
      </c>
      <c r="B583" s="2">
        <f>HYPERLINK("https://my.zakupki.prom.ua/remote/dispatcher/state_purchase_view/37940765", "UA-2022-10-12-007696-a")</f>
        <v/>
      </c>
      <c r="C583" t="s" s="2">
        <v>2890</v>
      </c>
      <c r="D583" s="2">
        <f>HYPERLINK("https://my.zakupki.prom.ua/remote/dispatcher/state_contracting_view/14258005", "UA-2022-10-12-007696-a-a1")</f>
        <v/>
      </c>
      <c r="E583" t="s" s="1">
        <v>293</v>
      </c>
      <c r="F583" t="s" s="1">
        <v>2664</v>
      </c>
      <c r="G583" t="s" s="1">
        <v>2019</v>
      </c>
      <c r="H583" t="s" s="1">
        <v>1024</v>
      </c>
      <c r="I583" t="s" s="1">
        <v>2017</v>
      </c>
      <c r="J583" t="s" s="1">
        <v>2859</v>
      </c>
      <c r="K583" t="s" s="1">
        <v>541</v>
      </c>
      <c r="L583" t="s" s="1">
        <v>1118</v>
      </c>
      <c r="M583" t="n" s="5">
        <v>420.0</v>
      </c>
      <c r="N583" t="n" s="7">
        <v>44846.0</v>
      </c>
      <c r="O583" t="n" s="7">
        <v>44926.0</v>
      </c>
      <c r="P583" t="s" s="1">
        <v>3259</v>
      </c>
    </row>
    <row r="584" spans="1:16">
      <c r="A584" t="n" s="4">
        <v>580</v>
      </c>
      <c r="B584" s="2">
        <f>HYPERLINK("https://my.zakupki.prom.ua/remote/dispatcher/state_purchase_view/36720446", "UA-2022-07-19-000942-a")</f>
        <v/>
      </c>
      <c r="C584" t="s" s="2">
        <v>2890</v>
      </c>
      <c r="D584" s="2">
        <f>HYPERLINK("https://my.zakupki.prom.ua/remote/dispatcher/state_contracting_view/13667636", "UA-2022-07-19-000942-a-b1")</f>
        <v/>
      </c>
      <c r="E584" t="s" s="1">
        <v>1590</v>
      </c>
      <c r="F584" t="s" s="1">
        <v>2627</v>
      </c>
      <c r="G584" t="s" s="1">
        <v>2006</v>
      </c>
      <c r="H584" t="s" s="1">
        <v>931</v>
      </c>
      <c r="I584" t="s" s="1">
        <v>2017</v>
      </c>
      <c r="J584" t="s" s="1">
        <v>1927</v>
      </c>
      <c r="K584" t="s" s="1">
        <v>320</v>
      </c>
      <c r="L584" t="s" s="1">
        <v>822</v>
      </c>
      <c r="M584" t="n" s="5">
        <v>385.0</v>
      </c>
      <c r="N584" t="n" s="7">
        <v>44760.0</v>
      </c>
      <c r="O584" t="n" s="7">
        <v>44926.0</v>
      </c>
      <c r="P584" t="s" s="1">
        <v>3259</v>
      </c>
    </row>
    <row r="585" spans="1:16">
      <c r="A585" t="n" s="4">
        <v>581</v>
      </c>
      <c r="B585" s="2">
        <f>HYPERLINK("https://my.zakupki.prom.ua/remote/dispatcher/state_purchase_view/36752649", "UA-2022-07-21-000228-a")</f>
        <v/>
      </c>
      <c r="C585" t="s" s="2">
        <v>2890</v>
      </c>
      <c r="D585" s="2">
        <f>HYPERLINK("https://my.zakupki.prom.ua/remote/dispatcher/state_contracting_view/13682694", "UA-2022-07-21-000228-a-b1")</f>
        <v/>
      </c>
      <c r="E585" t="s" s="1">
        <v>1289</v>
      </c>
      <c r="F585" t="s" s="1">
        <v>2512</v>
      </c>
      <c r="G585" t="s" s="1">
        <v>3157</v>
      </c>
      <c r="H585" t="s" s="1">
        <v>749</v>
      </c>
      <c r="I585" t="s" s="1">
        <v>2017</v>
      </c>
      <c r="J585" t="s" s="1">
        <v>2904</v>
      </c>
      <c r="K585" t="s" s="1">
        <v>688</v>
      </c>
      <c r="L585" t="s" s="1">
        <v>865</v>
      </c>
      <c r="M585" t="n" s="5">
        <v>187.5</v>
      </c>
      <c r="N585" t="n" s="7">
        <v>44762.0</v>
      </c>
      <c r="O585" t="n" s="7">
        <v>44926.0</v>
      </c>
      <c r="P585" t="s" s="1">
        <v>3259</v>
      </c>
    </row>
    <row r="586" spans="1:16">
      <c r="A586" t="n" s="4">
        <v>582</v>
      </c>
      <c r="B586" s="2">
        <f>HYPERLINK("https://my.zakupki.prom.ua/remote/dispatcher/state_purchase_view/36753364", "UA-2022-07-21-000587-a")</f>
        <v/>
      </c>
      <c r="C586" t="s" s="2">
        <v>2890</v>
      </c>
      <c r="D586" s="2">
        <f>HYPERLINK("https://my.zakupki.prom.ua/remote/dispatcher/state_contracting_view/13683090", "UA-2022-07-21-000587-a-b1")</f>
        <v/>
      </c>
      <c r="E586" t="s" s="1">
        <v>1055</v>
      </c>
      <c r="F586" t="s" s="1">
        <v>2226</v>
      </c>
      <c r="G586" t="s" s="1">
        <v>2938</v>
      </c>
      <c r="H586" t="s" s="1">
        <v>268</v>
      </c>
      <c r="I586" t="s" s="1">
        <v>2017</v>
      </c>
      <c r="J586" t="s" s="1">
        <v>2904</v>
      </c>
      <c r="K586" t="s" s="1">
        <v>688</v>
      </c>
      <c r="L586" t="s" s="1">
        <v>872</v>
      </c>
      <c r="M586" t="n" s="5">
        <v>120.0</v>
      </c>
      <c r="N586" t="n" s="7">
        <v>44762.0</v>
      </c>
      <c r="O586" t="n" s="7">
        <v>44926.0</v>
      </c>
      <c r="P586" t="s" s="1">
        <v>3259</v>
      </c>
    </row>
    <row r="587" spans="1:16">
      <c r="A587" t="n" s="4">
        <v>583</v>
      </c>
      <c r="B587" s="2">
        <f>HYPERLINK("https://my.zakupki.prom.ua/remote/dispatcher/state_purchase_view/38152372", "UA-2022-10-25-007489-a")</f>
        <v/>
      </c>
      <c r="C587" t="s" s="2">
        <v>2890</v>
      </c>
      <c r="D587" s="2">
        <f>HYPERLINK("https://my.zakupki.prom.ua/remote/dispatcher/state_contracting_view/14367132", "UA-2022-10-25-007489-a-b1")</f>
        <v/>
      </c>
      <c r="E587" t="s" s="1">
        <v>1149</v>
      </c>
      <c r="F587" t="s" s="1">
        <v>2224</v>
      </c>
      <c r="G587" t="s" s="1">
        <v>2224</v>
      </c>
      <c r="H587" t="s" s="1">
        <v>245</v>
      </c>
      <c r="I587" t="s" s="1">
        <v>2017</v>
      </c>
      <c r="J587" t="s" s="1">
        <v>1927</v>
      </c>
      <c r="K587" t="s" s="1">
        <v>320</v>
      </c>
      <c r="L587" t="s" s="1">
        <v>1182</v>
      </c>
      <c r="M587" t="n" s="5">
        <v>280.0</v>
      </c>
      <c r="N587" t="n" s="7">
        <v>44859.0</v>
      </c>
      <c r="O587" t="n" s="7">
        <v>44926.0</v>
      </c>
      <c r="P587" t="s" s="1">
        <v>3259</v>
      </c>
    </row>
    <row r="588" spans="1:16">
      <c r="A588" t="n" s="4">
        <v>584</v>
      </c>
      <c r="B588" s="2">
        <f>HYPERLINK("https://my.zakupki.prom.ua/remote/dispatcher/state_purchase_view/38209725", "UA-2022-10-27-010438-a")</f>
        <v/>
      </c>
      <c r="C588" t="s" s="2">
        <v>2890</v>
      </c>
      <c r="D588" s="2">
        <f>HYPERLINK("https://my.zakupki.prom.ua/remote/dispatcher/state_contracting_view/14394082", "UA-2022-10-27-010438-a-a1")</f>
        <v/>
      </c>
      <c r="E588" t="s" s="1">
        <v>1671</v>
      </c>
      <c r="F588" t="s" s="1">
        <v>2228</v>
      </c>
      <c r="G588" t="s" s="1">
        <v>2228</v>
      </c>
      <c r="H588" t="s" s="1">
        <v>273</v>
      </c>
      <c r="I588" t="s" s="1">
        <v>2017</v>
      </c>
      <c r="J588" t="s" s="1">
        <v>1965</v>
      </c>
      <c r="K588" t="s" s="1">
        <v>553</v>
      </c>
      <c r="L588" t="s" s="1">
        <v>1186</v>
      </c>
      <c r="M588" t="n" s="5">
        <v>90.0</v>
      </c>
      <c r="N588" t="n" s="7">
        <v>44861.0</v>
      </c>
      <c r="O588" t="n" s="7">
        <v>44926.0</v>
      </c>
      <c r="P588" t="s" s="1">
        <v>3259</v>
      </c>
    </row>
    <row r="589" spans="1:16">
      <c r="A589" t="n" s="4">
        <v>585</v>
      </c>
      <c r="B589" s="2">
        <f>HYPERLINK("https://my.zakupki.prom.ua/remote/dispatcher/state_purchase_view/37330709", "UA-2022-09-02-006186-a")</f>
        <v/>
      </c>
      <c r="C589" t="s" s="2">
        <v>2890</v>
      </c>
      <c r="D589" s="2">
        <f>HYPERLINK("https://my.zakupki.prom.ua/remote/dispatcher/state_contracting_view/13959977", "UA-2022-09-02-006186-a-b1")</f>
        <v/>
      </c>
      <c r="E589" t="s" s="1">
        <v>1060</v>
      </c>
      <c r="F589" t="s" s="1">
        <v>2156</v>
      </c>
      <c r="G589" t="s" s="1">
        <v>2156</v>
      </c>
      <c r="H589" t="s" s="1">
        <v>1420</v>
      </c>
      <c r="I589" t="s" s="1">
        <v>2017</v>
      </c>
      <c r="J589" t="s" s="1">
        <v>2880</v>
      </c>
      <c r="K589" t="s" s="1">
        <v>14</v>
      </c>
      <c r="L589" t="s" s="1">
        <v>192</v>
      </c>
      <c r="M589" t="n" s="5">
        <v>16200.0</v>
      </c>
      <c r="N589" t="n" s="7">
        <v>44804.0</v>
      </c>
      <c r="O589" t="n" s="7">
        <v>44926.0</v>
      </c>
      <c r="P589" t="s" s="1">
        <v>3259</v>
      </c>
    </row>
    <row r="590" spans="1:16">
      <c r="A590" t="n" s="4">
        <v>586</v>
      </c>
      <c r="B590" s="2">
        <f>HYPERLINK("https://my.zakupki.prom.ua/remote/dispatcher/state_purchase_view/37555502", "UA-2022-09-16-008095-a")</f>
        <v/>
      </c>
      <c r="C590" t="s" s="2">
        <v>2890</v>
      </c>
      <c r="D590" s="2">
        <f>HYPERLINK("https://my.zakupki.prom.ua/remote/dispatcher/state_contracting_view/14068374", "UA-2022-09-16-008095-a-c1")</f>
        <v/>
      </c>
      <c r="E590" t="s" s="1">
        <v>1804</v>
      </c>
      <c r="F590" t="s" s="1">
        <v>2445</v>
      </c>
      <c r="G590" t="s" s="1">
        <v>2445</v>
      </c>
      <c r="H590" t="s" s="1">
        <v>650</v>
      </c>
      <c r="I590" t="s" s="1">
        <v>2017</v>
      </c>
      <c r="J590" t="s" s="1">
        <v>3098</v>
      </c>
      <c r="K590" t="s" s="1">
        <v>652</v>
      </c>
      <c r="L590" t="s" s="1">
        <v>270</v>
      </c>
      <c r="M590" t="n" s="5">
        <v>8500.0</v>
      </c>
      <c r="N590" t="n" s="7">
        <v>44820.0</v>
      </c>
      <c r="O590" t="n" s="7">
        <v>44926.0</v>
      </c>
      <c r="P590" t="s" s="1">
        <v>3259</v>
      </c>
    </row>
    <row r="591" spans="1:16">
      <c r="A591" t="n" s="4">
        <v>587</v>
      </c>
      <c r="B591" s="2">
        <f>HYPERLINK("https://my.zakupki.prom.ua/remote/dispatcher/state_purchase_view/37708172", "UA-2022-09-27-004071-a")</f>
        <v/>
      </c>
      <c r="C591" t="s" s="2">
        <v>2890</v>
      </c>
      <c r="D591" s="2">
        <f>HYPERLINK("https://my.zakupki.prom.ua/remote/dispatcher/state_contracting_view/14143989", "UA-2022-09-27-004071-a-c1")</f>
        <v/>
      </c>
      <c r="E591" t="s" s="1">
        <v>1678</v>
      </c>
      <c r="F591" t="s" s="1">
        <v>2288</v>
      </c>
      <c r="G591" t="s" s="1">
        <v>2975</v>
      </c>
      <c r="H591" t="s" s="1">
        <v>574</v>
      </c>
      <c r="I591" t="s" s="1">
        <v>2017</v>
      </c>
      <c r="J591" t="s" s="1">
        <v>1927</v>
      </c>
      <c r="K591" t="s" s="1">
        <v>320</v>
      </c>
      <c r="L591" t="s" s="1">
        <v>1075</v>
      </c>
      <c r="M591" t="n" s="5">
        <v>1128.0</v>
      </c>
      <c r="N591" t="n" s="7">
        <v>44831.0</v>
      </c>
      <c r="O591" t="n" s="7">
        <v>44926.0</v>
      </c>
      <c r="P591" t="s" s="1">
        <v>3259</v>
      </c>
    </row>
    <row r="592" spans="1:16">
      <c r="A592" t="n" s="4">
        <v>588</v>
      </c>
      <c r="B592" s="2">
        <f>HYPERLINK("https://my.zakupki.prom.ua/remote/dispatcher/state_purchase_view/37720727", "UA-2022-09-27-010737-a")</f>
        <v/>
      </c>
      <c r="C592" t="s" s="2">
        <v>2890</v>
      </c>
      <c r="D592" s="2">
        <f>HYPERLINK("https://my.zakupki.prom.ua/remote/dispatcher/state_contracting_view/14150405", "UA-2022-09-27-010737-a-a1")</f>
        <v/>
      </c>
      <c r="E592" t="s" s="1">
        <v>1402</v>
      </c>
      <c r="F592" t="s" s="1">
        <v>2585</v>
      </c>
      <c r="G592" t="s" s="1">
        <v>2828</v>
      </c>
      <c r="H592" t="s" s="1">
        <v>907</v>
      </c>
      <c r="I592" t="s" s="1">
        <v>2017</v>
      </c>
      <c r="J592" t="s" s="1">
        <v>1927</v>
      </c>
      <c r="K592" t="s" s="1">
        <v>320</v>
      </c>
      <c r="L592" t="s" s="1">
        <v>1093</v>
      </c>
      <c r="M592" t="n" s="5">
        <v>315.0</v>
      </c>
      <c r="N592" t="n" s="7">
        <v>44831.0</v>
      </c>
      <c r="O592" t="n" s="7">
        <v>44926.0</v>
      </c>
      <c r="P592" t="s" s="1">
        <v>3259</v>
      </c>
    </row>
    <row r="593" spans="1:16">
      <c r="A593" t="n" s="4">
        <v>589</v>
      </c>
      <c r="B593" s="2">
        <f>HYPERLINK("https://my.zakupki.prom.ua/remote/dispatcher/state_purchase_view/37719964", "UA-2022-09-27-010324-a")</f>
        <v/>
      </c>
      <c r="C593" t="s" s="2">
        <v>2890</v>
      </c>
      <c r="D593" s="2">
        <f>HYPERLINK("https://my.zakupki.prom.ua/remote/dispatcher/state_contracting_view/14150175", "UA-2022-09-27-010324-a-a1")</f>
        <v/>
      </c>
      <c r="E593" t="s" s="1">
        <v>1732</v>
      </c>
      <c r="F593" t="s" s="1">
        <v>2612</v>
      </c>
      <c r="G593" t="s" s="1">
        <v>2018</v>
      </c>
      <c r="H593" t="s" s="1">
        <v>921</v>
      </c>
      <c r="I593" t="s" s="1">
        <v>2017</v>
      </c>
      <c r="J593" t="s" s="1">
        <v>1927</v>
      </c>
      <c r="K593" t="s" s="1">
        <v>320</v>
      </c>
      <c r="L593" t="s" s="1">
        <v>1090</v>
      </c>
      <c r="M593" t="n" s="5">
        <v>620.0</v>
      </c>
      <c r="N593" t="n" s="7">
        <v>44831.0</v>
      </c>
      <c r="O593" t="n" s="7">
        <v>44926.0</v>
      </c>
      <c r="P593" t="s" s="1">
        <v>3259</v>
      </c>
    </row>
    <row r="594" spans="1:16">
      <c r="A594" t="n" s="4">
        <v>590</v>
      </c>
      <c r="B594" s="2">
        <f>HYPERLINK("https://my.zakupki.prom.ua/remote/dispatcher/state_purchase_view/37071595", "UA-2022-08-15-006821-a")</f>
        <v/>
      </c>
      <c r="C594" t="s" s="2">
        <v>2890</v>
      </c>
      <c r="D594" s="2">
        <f>HYPERLINK("https://my.zakupki.prom.ua/remote/dispatcher/state_contracting_view/13833788", "UA-2022-08-15-006821-a-b1")</f>
        <v/>
      </c>
      <c r="E594" t="s" s="1">
        <v>1267</v>
      </c>
      <c r="F594" t="s" s="1">
        <v>2652</v>
      </c>
      <c r="G594" t="s" s="1">
        <v>2652</v>
      </c>
      <c r="H594" t="s" s="1">
        <v>943</v>
      </c>
      <c r="I594" t="s" s="1">
        <v>2017</v>
      </c>
      <c r="J594" t="s" s="1">
        <v>2904</v>
      </c>
      <c r="K594" t="s" s="1">
        <v>688</v>
      </c>
      <c r="L594" t="s" s="1">
        <v>986</v>
      </c>
      <c r="M594" t="n" s="5">
        <v>29119.0</v>
      </c>
      <c r="N594" t="n" s="7">
        <v>44788.0</v>
      </c>
      <c r="O594" t="n" s="7">
        <v>44926.0</v>
      </c>
      <c r="P594" t="s" s="1">
        <v>3259</v>
      </c>
    </row>
    <row r="595" spans="1:16">
      <c r="A595" t="n" s="4">
        <v>591</v>
      </c>
      <c r="B595" s="2">
        <f>HYPERLINK("https://my.zakupki.prom.ua/remote/dispatcher/state_purchase_view/37071997", "UA-2022-08-15-007046-a")</f>
        <v/>
      </c>
      <c r="C595" t="s" s="2">
        <v>2890</v>
      </c>
      <c r="D595" s="2">
        <f>HYPERLINK("https://my.zakupki.prom.ua/remote/dispatcher/state_contracting_view/13834000", "UA-2022-08-15-007046-a-b1")</f>
        <v/>
      </c>
      <c r="E595" t="s" s="1">
        <v>1855</v>
      </c>
      <c r="F595" t="s" s="1">
        <v>2651</v>
      </c>
      <c r="G595" t="s" s="1">
        <v>2651</v>
      </c>
      <c r="H595" t="s" s="1">
        <v>943</v>
      </c>
      <c r="I595" t="s" s="1">
        <v>2017</v>
      </c>
      <c r="J595" t="s" s="1">
        <v>2904</v>
      </c>
      <c r="K595" t="s" s="1">
        <v>688</v>
      </c>
      <c r="L595" t="s" s="1">
        <v>1000</v>
      </c>
      <c r="M595" t="n" s="5">
        <v>49244.0</v>
      </c>
      <c r="N595" t="n" s="7">
        <v>44788.0</v>
      </c>
      <c r="O595" t="n" s="7">
        <v>44926.0</v>
      </c>
      <c r="P595" t="s" s="1">
        <v>3259</v>
      </c>
    </row>
    <row r="596" spans="1:16">
      <c r="A596" t="n" s="4">
        <v>592</v>
      </c>
      <c r="B596" s="2">
        <f>HYPERLINK("https://my.zakupki.prom.ua/remote/dispatcher/state_purchase_view/37279536", "UA-2022-08-30-006959-a")</f>
        <v/>
      </c>
      <c r="C596" t="s" s="2">
        <v>2890</v>
      </c>
      <c r="D596" s="2">
        <f>HYPERLINK("https://my.zakupki.prom.ua/remote/dispatcher/state_contracting_view/13934364", "UA-2022-08-30-006959-a-b1")</f>
        <v/>
      </c>
      <c r="E596" t="s" s="1">
        <v>1741</v>
      </c>
      <c r="F596" t="s" s="1">
        <v>2671</v>
      </c>
      <c r="G596" t="s" s="1">
        <v>2671</v>
      </c>
      <c r="H596" t="s" s="1">
        <v>1027</v>
      </c>
      <c r="I596" t="s" s="1">
        <v>2017</v>
      </c>
      <c r="J596" t="s" s="1">
        <v>2910</v>
      </c>
      <c r="K596" t="s" s="1">
        <v>4</v>
      </c>
      <c r="L596" t="s" s="1">
        <v>1047</v>
      </c>
      <c r="M596" t="n" s="5">
        <v>1773.4</v>
      </c>
      <c r="N596" t="n" s="7">
        <v>44803.0</v>
      </c>
      <c r="O596" t="n" s="7">
        <v>44926.0</v>
      </c>
      <c r="P596" t="s" s="1">
        <v>3259</v>
      </c>
    </row>
    <row r="597" spans="1:16">
      <c r="A597" t="n" s="4">
        <v>593</v>
      </c>
      <c r="B597" s="2">
        <f>HYPERLINK("https://my.zakupki.prom.ua/remote/dispatcher/state_purchase_view/37859376", "UA-2022-10-06-006178-a")</f>
        <v/>
      </c>
      <c r="C597" t="s" s="2">
        <v>2890</v>
      </c>
      <c r="D597" s="2">
        <f>HYPERLINK("https://my.zakupki.prom.ua/remote/dispatcher/state_contracting_view/14218225", "UA-2022-10-06-006178-a-b1")</f>
        <v/>
      </c>
      <c r="E597" t="s" s="1">
        <v>55</v>
      </c>
      <c r="F597" t="s" s="1">
        <v>2588</v>
      </c>
      <c r="G597" t="s" s="1">
        <v>1942</v>
      </c>
      <c r="H597" t="s" s="1">
        <v>908</v>
      </c>
      <c r="I597" t="s" s="1">
        <v>2017</v>
      </c>
      <c r="J597" t="s" s="1">
        <v>3145</v>
      </c>
      <c r="K597" t="s" s="1">
        <v>495</v>
      </c>
      <c r="L597" t="s" s="1">
        <v>3041</v>
      </c>
      <c r="M597" t="n" s="5">
        <v>8260.0</v>
      </c>
      <c r="N597" t="n" s="7">
        <v>44840.0</v>
      </c>
      <c r="O597" t="n" s="7">
        <v>44926.0</v>
      </c>
      <c r="P597" t="s" s="1">
        <v>3259</v>
      </c>
    </row>
    <row r="598" spans="1:16">
      <c r="A598" t="n" s="4">
        <v>594</v>
      </c>
      <c r="B598" s="2">
        <f>HYPERLINK("https://my.zakupki.prom.ua/remote/dispatcher/state_purchase_view/34550316", "UA-2022-01-27-012772-b")</f>
        <v/>
      </c>
      <c r="C598" t="s" s="2">
        <v>2890</v>
      </c>
      <c r="D598" s="2">
        <f>HYPERLINK("https://my.zakupki.prom.ua/remote/dispatcher/state_contracting_view/13090328", "UA-2022-01-27-012772-b-b1")</f>
        <v/>
      </c>
      <c r="E598" t="s" s="1">
        <v>1278</v>
      </c>
      <c r="F598" t="s" s="1">
        <v>2791</v>
      </c>
      <c r="G598" t="s" s="1">
        <v>2791</v>
      </c>
      <c r="H598" t="s" s="1">
        <v>640</v>
      </c>
      <c r="I598" t="s" s="1">
        <v>1933</v>
      </c>
      <c r="J598" t="s" s="1">
        <v>3087</v>
      </c>
      <c r="K598" t="s" s="1">
        <v>870</v>
      </c>
      <c r="L598" t="s" s="1">
        <v>145</v>
      </c>
      <c r="M598" t="n" s="5">
        <v>429000.0</v>
      </c>
      <c r="N598" t="n" s="7">
        <v>44623.0</v>
      </c>
      <c r="O598" t="n" s="7">
        <v>44926.0</v>
      </c>
      <c r="P598" t="s" s="1">
        <v>3259</v>
      </c>
    </row>
    <row r="599" spans="1:16">
      <c r="A599" t="n" s="4">
        <v>595</v>
      </c>
      <c r="B599" s="2">
        <f>HYPERLINK("https://my.zakupki.prom.ua/remote/dispatcher/state_purchase_view/34887996", "UA-2022-02-07-005148-b")</f>
        <v/>
      </c>
      <c r="C599" t="s" s="2">
        <v>2890</v>
      </c>
      <c r="D599" s="2">
        <f>HYPERLINK("https://my.zakupki.prom.ua/remote/dispatcher/state_contracting_view/12752397", "UA-2022-02-07-005148-b-b1")</f>
        <v/>
      </c>
      <c r="E599" t="s" s="1">
        <v>1747</v>
      </c>
      <c r="F599" t="s" s="1">
        <v>2255</v>
      </c>
      <c r="G599" t="s" s="1">
        <v>2255</v>
      </c>
      <c r="H599" t="s" s="1">
        <v>381</v>
      </c>
      <c r="I599" t="s" s="1">
        <v>2017</v>
      </c>
      <c r="J599" t="s" s="1">
        <v>3132</v>
      </c>
      <c r="K599" t="s" s="1">
        <v>743</v>
      </c>
      <c r="L599" t="s" s="1">
        <v>501</v>
      </c>
      <c r="M599" t="n" s="5">
        <v>3210.0</v>
      </c>
      <c r="N599" t="n" s="7">
        <v>44599.0</v>
      </c>
      <c r="O599" t="n" s="7">
        <v>44926.0</v>
      </c>
      <c r="P599" t="s" s="1">
        <v>3259</v>
      </c>
    </row>
    <row r="600" spans="1:16">
      <c r="A600" t="n" s="4">
        <v>596</v>
      </c>
      <c r="B600" s="2">
        <f>HYPERLINK("https://my.zakupki.prom.ua/remote/dispatcher/state_purchase_view/35691669", "UA-2022-03-18-002085-a")</f>
        <v/>
      </c>
      <c r="C600" t="s" s="2">
        <v>2890</v>
      </c>
      <c r="D600" s="2">
        <f>HYPERLINK("https://my.zakupki.prom.ua/remote/dispatcher/state_contracting_view/13146250", "UA-2022-03-18-002085-a-a1")</f>
        <v/>
      </c>
      <c r="E600" t="s" s="1">
        <v>1779</v>
      </c>
      <c r="F600" t="s" s="1">
        <v>2436</v>
      </c>
      <c r="G600" t="s" s="1">
        <v>2436</v>
      </c>
      <c r="H600" t="s" s="1">
        <v>650</v>
      </c>
      <c r="I600" t="s" s="1">
        <v>2017</v>
      </c>
      <c r="J600" t="s" s="1">
        <v>3113</v>
      </c>
      <c r="K600" t="s" s="1">
        <v>398</v>
      </c>
      <c r="L600" t="s" s="1">
        <v>229</v>
      </c>
      <c r="M600" t="n" s="5">
        <v>1996.0</v>
      </c>
      <c r="N600" t="n" s="7">
        <v>44637.0</v>
      </c>
      <c r="O600" t="n" s="7">
        <v>44926.0</v>
      </c>
      <c r="P600" t="s" s="1">
        <v>3259</v>
      </c>
    </row>
    <row r="601" spans="1:16">
      <c r="A601" t="n" s="4">
        <v>597</v>
      </c>
      <c r="B601" s="2">
        <f>HYPERLINK("https://my.zakupki.prom.ua/remote/dispatcher/state_purchase_view/35704737", "UA-2022-03-21-002612-a")</f>
        <v/>
      </c>
      <c r="C601" t="s" s="2">
        <v>2890</v>
      </c>
      <c r="D601" s="2">
        <f>HYPERLINK("https://my.zakupki.prom.ua/remote/dispatcher/state_contracting_view/13153831", "UA-2022-03-21-002612-a-a1")</f>
        <v/>
      </c>
      <c r="E601" t="s" s="1">
        <v>427</v>
      </c>
      <c r="F601" t="s" s="1">
        <v>2549</v>
      </c>
      <c r="G601" t="s" s="1">
        <v>2549</v>
      </c>
      <c r="H601" t="s" s="1">
        <v>836</v>
      </c>
      <c r="I601" t="s" s="1">
        <v>2017</v>
      </c>
      <c r="J601" t="s" s="1">
        <v>3237</v>
      </c>
      <c r="K601" t="s" s="1">
        <v>687</v>
      </c>
      <c r="L601" t="s" s="1">
        <v>232</v>
      </c>
      <c r="M601" t="n" s="5">
        <v>618.0</v>
      </c>
      <c r="N601" t="n" s="7">
        <v>44641.0</v>
      </c>
      <c r="O601" t="n" s="7">
        <v>44926.0</v>
      </c>
      <c r="P601" t="s" s="1">
        <v>3259</v>
      </c>
    </row>
    <row r="602" spans="1:16">
      <c r="A602" t="n" s="4">
        <v>598</v>
      </c>
      <c r="B602" s="2">
        <f>HYPERLINK("https://my.zakupki.prom.ua/remote/dispatcher/state_purchase_view/35704970", "UA-2022-03-21-002703-a")</f>
        <v/>
      </c>
      <c r="C602" t="s" s="2">
        <v>2890</v>
      </c>
      <c r="D602" s="2">
        <f>HYPERLINK("https://my.zakupki.prom.ua/remote/dispatcher/state_contracting_view/13153772", "UA-2022-03-21-002703-a-a1")</f>
        <v/>
      </c>
      <c r="E602" t="s" s="1">
        <v>1577</v>
      </c>
      <c r="F602" t="s" s="1">
        <v>2195</v>
      </c>
      <c r="G602" t="s" s="1">
        <v>2195</v>
      </c>
      <c r="H602" t="s" s="1">
        <v>183</v>
      </c>
      <c r="I602" t="s" s="1">
        <v>2017</v>
      </c>
      <c r="J602" t="s" s="1">
        <v>3237</v>
      </c>
      <c r="K602" t="s" s="1">
        <v>687</v>
      </c>
      <c r="L602" t="s" s="1">
        <v>241</v>
      </c>
      <c r="M602" t="n" s="5">
        <v>2389.0</v>
      </c>
      <c r="N602" t="n" s="7">
        <v>44641.0</v>
      </c>
      <c r="O602" t="n" s="7">
        <v>44926.0</v>
      </c>
      <c r="P602" t="s" s="1">
        <v>3259</v>
      </c>
    </row>
    <row r="603" spans="1:16">
      <c r="A603" t="n" s="4">
        <v>599</v>
      </c>
      <c r="B603" s="2">
        <f>HYPERLINK("https://my.zakupki.prom.ua/remote/dispatcher/state_purchase_view/36227013", "UA-2022-05-27-002427-a")</f>
        <v/>
      </c>
      <c r="C603" t="s" s="2">
        <v>2890</v>
      </c>
      <c r="D603" s="2">
        <f>HYPERLINK("https://my.zakupki.prom.ua/remote/dispatcher/state_contracting_view/13423346", "UA-2022-05-27-002427-a-b1")</f>
        <v/>
      </c>
      <c r="E603" t="s" s="1">
        <v>1683</v>
      </c>
      <c r="F603" t="s" s="1">
        <v>2498</v>
      </c>
      <c r="G603" t="s" s="1">
        <v>2498</v>
      </c>
      <c r="H603" t="s" s="1">
        <v>655</v>
      </c>
      <c r="I603" t="s" s="1">
        <v>2017</v>
      </c>
      <c r="J603" t="s" s="1">
        <v>1877</v>
      </c>
      <c r="K603" t="s" s="1">
        <v>510</v>
      </c>
      <c r="L603" t="s" s="1">
        <v>519</v>
      </c>
      <c r="M603" t="n" s="5">
        <v>14800.0</v>
      </c>
      <c r="N603" t="n" s="7">
        <v>44707.0</v>
      </c>
      <c r="O603" t="n" s="7">
        <v>44926.0</v>
      </c>
      <c r="P603" t="s" s="1">
        <v>3259</v>
      </c>
    </row>
    <row r="604" spans="1:16">
      <c r="A604" t="n" s="4">
        <v>600</v>
      </c>
      <c r="B604" s="2">
        <f>HYPERLINK("https://my.zakupki.prom.ua/remote/dispatcher/state_purchase_view/35947767", "UA-2022-04-18-002462-a")</f>
        <v/>
      </c>
      <c r="C604" t="s" s="2">
        <v>2890</v>
      </c>
      <c r="D604" s="2">
        <f>HYPERLINK("https://my.zakupki.prom.ua/remote/dispatcher/state_contracting_view/13279585", "UA-2022-04-18-002462-a-a1")</f>
        <v/>
      </c>
      <c r="E604" t="s" s="1">
        <v>1493</v>
      </c>
      <c r="F604" t="s" s="1">
        <v>2593</v>
      </c>
      <c r="G604" t="s" s="1">
        <v>2593</v>
      </c>
      <c r="H604" t="s" s="1">
        <v>912</v>
      </c>
      <c r="I604" t="s" s="1">
        <v>2017</v>
      </c>
      <c r="J604" t="s" s="1">
        <v>3197</v>
      </c>
      <c r="K604" t="s" s="1">
        <v>621</v>
      </c>
      <c r="L604" t="s" s="1">
        <v>405</v>
      </c>
      <c r="M604" t="n" s="5">
        <v>3127.0</v>
      </c>
      <c r="N604" t="n" s="7">
        <v>44666.0</v>
      </c>
      <c r="O604" t="n" s="7">
        <v>44926.0</v>
      </c>
      <c r="P604" t="s" s="1">
        <v>3259</v>
      </c>
    </row>
    <row r="605" spans="1:16">
      <c r="A605" t="n" s="4">
        <v>601</v>
      </c>
      <c r="B605" s="2">
        <f>HYPERLINK("https://my.zakupki.prom.ua/remote/dispatcher/state_purchase_view/38507006", "UA-2022-11-11-006062-a")</f>
        <v/>
      </c>
      <c r="C605" t="s" s="2">
        <v>2890</v>
      </c>
      <c r="D605" s="2">
        <f>HYPERLINK("https://my.zakupki.prom.ua/remote/dispatcher/state_contracting_view/14533745", "UA-2022-11-11-006062-a-c1")</f>
        <v/>
      </c>
      <c r="E605" t="s" s="1">
        <v>534</v>
      </c>
      <c r="F605" t="s" s="1">
        <v>2297</v>
      </c>
      <c r="G605" t="s" s="1">
        <v>1909</v>
      </c>
      <c r="H605" t="s" s="1">
        <v>579</v>
      </c>
      <c r="I605" t="s" s="1">
        <v>2017</v>
      </c>
      <c r="J605" t="s" s="1">
        <v>3145</v>
      </c>
      <c r="K605" t="s" s="1">
        <v>495</v>
      </c>
      <c r="L605" t="s" s="1">
        <v>3046</v>
      </c>
      <c r="M605" t="n" s="5">
        <v>403.2</v>
      </c>
      <c r="N605" t="n" s="7">
        <v>44876.0</v>
      </c>
      <c r="O605" t="n" s="7">
        <v>44926.0</v>
      </c>
      <c r="P605" t="s" s="1">
        <v>3259</v>
      </c>
    </row>
    <row r="606" spans="1:16">
      <c r="A606" t="n" s="4">
        <v>602</v>
      </c>
      <c r="B606" s="2">
        <f>HYPERLINK("https://my.zakupki.prom.ua/remote/dispatcher/state_purchase_view/38166362", "UA-2022-10-26-001789-a")</f>
        <v/>
      </c>
      <c r="C606" s="2">
        <f>HYPERLINK("https://my.zakupki.prom.ua/remote/dispatcher/state_purchase_lot_view/771703", "UA-2022-10-26-001789-a-L771703")</f>
        <v/>
      </c>
      <c r="D606" s="2">
        <f>HYPERLINK("https://my.zakupki.prom.ua/remote/dispatcher/state_contracting_view/14551638", "UA-2022-10-26-001789-a-a1")</f>
        <v/>
      </c>
      <c r="E606" t="s" s="1">
        <v>290</v>
      </c>
      <c r="F606" t="s" s="1">
        <v>2082</v>
      </c>
      <c r="G606" t="s" s="1">
        <v>2002</v>
      </c>
      <c r="H606" t="s" s="1">
        <v>640</v>
      </c>
      <c r="I606" t="s" s="1">
        <v>1934</v>
      </c>
      <c r="J606" t="s" s="1">
        <v>3087</v>
      </c>
      <c r="K606" t="s" s="1">
        <v>870</v>
      </c>
      <c r="L606" t="s" s="1">
        <v>1211</v>
      </c>
      <c r="M606" t="n" s="5">
        <v>1721350.0</v>
      </c>
      <c r="N606" t="n" s="7">
        <v>44879.0</v>
      </c>
      <c r="O606" t="n" s="7">
        <v>44926.0</v>
      </c>
      <c r="P606" t="s" s="1">
        <v>3259</v>
      </c>
    </row>
    <row r="607" spans="1:16">
      <c r="A607" t="n" s="4">
        <v>603</v>
      </c>
      <c r="B607" s="2">
        <f>HYPERLINK("https://my.zakupki.prom.ua/remote/dispatcher/state_purchase_view/38540200", "UA-2022-11-14-006820-a")</f>
        <v/>
      </c>
      <c r="C607" t="s" s="2">
        <v>2890</v>
      </c>
      <c r="D607" s="2">
        <f>HYPERLINK("https://my.zakupki.prom.ua/remote/dispatcher/state_contracting_view/14548938", "UA-2022-11-14-006820-a-c1")</f>
        <v/>
      </c>
      <c r="E607" t="s" s="1">
        <v>1439</v>
      </c>
      <c r="F607" t="s" s="1">
        <v>2766</v>
      </c>
      <c r="G607" t="s" s="1">
        <v>2765</v>
      </c>
      <c r="H607" t="s" s="1">
        <v>1445</v>
      </c>
      <c r="I607" t="s" s="1">
        <v>2017</v>
      </c>
      <c r="J607" t="s" s="1">
        <v>3097</v>
      </c>
      <c r="K607" t="s" s="1">
        <v>773</v>
      </c>
      <c r="L607" t="s" s="1">
        <v>1208</v>
      </c>
      <c r="M607" t="n" s="5">
        <v>75000.0</v>
      </c>
      <c r="N607" t="n" s="7">
        <v>44879.0</v>
      </c>
      <c r="O607" t="n" s="7">
        <v>44926.0</v>
      </c>
      <c r="P607" t="s" s="1">
        <v>3259</v>
      </c>
    </row>
    <row r="608" spans="1:16">
      <c r="A608" t="n" s="4">
        <v>604</v>
      </c>
      <c r="B608" s="2">
        <f>HYPERLINK("https://my.zakupki.prom.ua/remote/dispatcher/state_purchase_view/39240427", "UA-2022-12-12-006336-a")</f>
        <v/>
      </c>
      <c r="C608" t="s" s="2">
        <v>2890</v>
      </c>
      <c r="D608" s="2">
        <f>HYPERLINK("https://my.zakupki.prom.ua/remote/dispatcher/state_contracting_view/14871055", "UA-2022-12-12-006336-a-a1")</f>
        <v/>
      </c>
      <c r="E608" t="s" s="1">
        <v>1605</v>
      </c>
      <c r="F608" t="s" s="1">
        <v>2368</v>
      </c>
      <c r="G608" t="s" s="1">
        <v>2070</v>
      </c>
      <c r="H608" t="s" s="1">
        <v>640</v>
      </c>
      <c r="I608" t="s" s="1">
        <v>2017</v>
      </c>
      <c r="J608" t="s" s="1">
        <v>3114</v>
      </c>
      <c r="K608" t="s" s="1">
        <v>873</v>
      </c>
      <c r="L608" t="s" s="1">
        <v>1310</v>
      </c>
      <c r="M608" t="n" s="5">
        <v>9600.0</v>
      </c>
      <c r="N608" t="n" s="7">
        <v>44904.0</v>
      </c>
      <c r="O608" t="n" s="7">
        <v>44926.0</v>
      </c>
      <c r="P608" t="s" s="1">
        <v>3259</v>
      </c>
    </row>
    <row r="609" spans="1:16">
      <c r="A609" t="n" s="4">
        <v>605</v>
      </c>
      <c r="B609" s="2">
        <f>HYPERLINK("https://my.zakupki.prom.ua/remote/dispatcher/state_purchase_view/39777515", "UA-2022-12-27-005919-a")</f>
        <v/>
      </c>
      <c r="C609" t="s" s="2">
        <v>2890</v>
      </c>
      <c r="D609" s="2">
        <f>HYPERLINK("https://my.zakupki.prom.ua/remote/dispatcher/state_contracting_view/15128244", "UA-2022-12-27-005919-a-a1")</f>
        <v/>
      </c>
      <c r="E609" t="s" s="1">
        <v>1665</v>
      </c>
      <c r="F609" t="s" s="1">
        <v>2599</v>
      </c>
      <c r="G609" t="s" s="1">
        <v>3230</v>
      </c>
      <c r="H609" t="s" s="1">
        <v>914</v>
      </c>
      <c r="I609" t="s" s="1">
        <v>2017</v>
      </c>
      <c r="J609" t="s" s="1">
        <v>2904</v>
      </c>
      <c r="K609" t="s" s="1">
        <v>688</v>
      </c>
      <c r="L609" t="s" s="1">
        <v>1372</v>
      </c>
      <c r="M609" t="n" s="5">
        <v>366.0</v>
      </c>
      <c r="N609" t="n" s="7">
        <v>44922.0</v>
      </c>
      <c r="O609" t="n" s="7">
        <v>44926.0</v>
      </c>
      <c r="P609" t="s" s="1">
        <v>3259</v>
      </c>
    </row>
    <row r="610" spans="1:16">
      <c r="A610" t="n" s="4">
        <v>606</v>
      </c>
      <c r="B610" s="2">
        <f>HYPERLINK("https://my.zakupki.prom.ua/remote/dispatcher/state_purchase_view/39780823", "UA-2022-12-27-007519-a")</f>
        <v/>
      </c>
      <c r="C610" t="s" s="2">
        <v>2890</v>
      </c>
      <c r="D610" s="2">
        <f>HYPERLINK("https://my.zakupki.prom.ua/remote/dispatcher/state_contracting_view/15129910", "UA-2022-12-27-007519-a-a1")</f>
        <v/>
      </c>
      <c r="E610" t="s" s="1">
        <v>1053</v>
      </c>
      <c r="F610" t="s" s="1">
        <v>2286</v>
      </c>
      <c r="G610" t="s" s="1">
        <v>2048</v>
      </c>
      <c r="H610" t="s" s="1">
        <v>574</v>
      </c>
      <c r="I610" t="s" s="1">
        <v>2017</v>
      </c>
      <c r="J610" t="s" s="1">
        <v>2904</v>
      </c>
      <c r="K610" t="s" s="1">
        <v>688</v>
      </c>
      <c r="L610" t="s" s="1">
        <v>1376</v>
      </c>
      <c r="M610" t="n" s="5">
        <v>4134.48</v>
      </c>
      <c r="N610" t="n" s="7">
        <v>44922.0</v>
      </c>
      <c r="O610" t="n" s="7">
        <v>44926.0</v>
      </c>
      <c r="P610" t="s" s="1">
        <v>3259</v>
      </c>
    </row>
    <row r="611" spans="1:16">
      <c r="A611" t="n" s="4">
        <v>607</v>
      </c>
      <c r="B611" s="2">
        <f>HYPERLINK("https://my.zakupki.prom.ua/remote/dispatcher/state_purchase_view/36525576", "UA-2022-06-30-002501-a")</f>
        <v/>
      </c>
      <c r="C611" t="s" s="2">
        <v>2890</v>
      </c>
      <c r="D611" s="2">
        <f>HYPERLINK("https://my.zakupki.prom.ua/remote/dispatcher/state_contracting_view/13575294", "UA-2022-06-30-002501-a-b1")</f>
        <v/>
      </c>
      <c r="E611" t="s" s="1">
        <v>1666</v>
      </c>
      <c r="F611" t="s" s="1">
        <v>2114</v>
      </c>
      <c r="G611" t="s" s="1">
        <v>2939</v>
      </c>
      <c r="H611" t="s" s="1">
        <v>792</v>
      </c>
      <c r="I611" t="s" s="1">
        <v>2017</v>
      </c>
      <c r="J611" t="s" s="1">
        <v>3237</v>
      </c>
      <c r="K611" t="s" s="1">
        <v>687</v>
      </c>
      <c r="L611" t="s" s="1">
        <v>712</v>
      </c>
      <c r="M611" t="n" s="5">
        <v>7708.05</v>
      </c>
      <c r="N611" t="n" s="7">
        <v>44740.0</v>
      </c>
      <c r="O611" t="n" s="7">
        <v>44926.0</v>
      </c>
      <c r="P611" t="s" s="1">
        <v>3259</v>
      </c>
    </row>
    <row r="612" spans="1:16">
      <c r="A612" t="n" s="4">
        <v>608</v>
      </c>
      <c r="B612" s="2">
        <f>HYPERLINK("https://my.zakupki.prom.ua/remote/dispatcher/state_purchase_view/36524921", "UA-2022-06-30-002148-a")</f>
        <v/>
      </c>
      <c r="C612" t="s" s="2">
        <v>2890</v>
      </c>
      <c r="D612" s="2">
        <f>HYPERLINK("https://my.zakupki.prom.ua/remote/dispatcher/state_contracting_view/13574997", "UA-2022-06-30-002148-a-b1")</f>
        <v/>
      </c>
      <c r="E612" t="s" s="1">
        <v>1845</v>
      </c>
      <c r="F612" t="s" s="1">
        <v>2113</v>
      </c>
      <c r="G612" t="s" s="1">
        <v>1922</v>
      </c>
      <c r="H612" t="s" s="1">
        <v>792</v>
      </c>
      <c r="I612" t="s" s="1">
        <v>2017</v>
      </c>
      <c r="J612" t="s" s="1">
        <v>3237</v>
      </c>
      <c r="K612" t="s" s="1">
        <v>687</v>
      </c>
      <c r="L612" t="s" s="1">
        <v>710</v>
      </c>
      <c r="M612" t="n" s="5">
        <v>5041.0</v>
      </c>
      <c r="N612" t="n" s="7">
        <v>44740.0</v>
      </c>
      <c r="O612" t="n" s="7">
        <v>44926.0</v>
      </c>
      <c r="P612" t="s" s="1">
        <v>3259</v>
      </c>
    </row>
    <row r="613" spans="1:16">
      <c r="A613" t="n" s="4">
        <v>609</v>
      </c>
      <c r="B613" s="2">
        <f>HYPERLINK("https://my.zakupki.prom.ua/remote/dispatcher/state_purchase_view/38387534", "UA-2022-11-07-007276-a")</f>
        <v/>
      </c>
      <c r="C613" t="s" s="2">
        <v>2890</v>
      </c>
      <c r="D613" s="2">
        <f>HYPERLINK("https://my.zakupki.prom.ua/remote/dispatcher/state_contracting_view/14479300", "UA-2022-11-07-007276-a-a1")</f>
        <v/>
      </c>
      <c r="E613" t="s" s="1">
        <v>1217</v>
      </c>
      <c r="F613" t="s" s="1">
        <v>2521</v>
      </c>
      <c r="G613" t="s" s="1">
        <v>2521</v>
      </c>
      <c r="H613" t="s" s="1">
        <v>769</v>
      </c>
      <c r="I613" t="s" s="1">
        <v>2017</v>
      </c>
      <c r="J613" t="s" s="1">
        <v>2045</v>
      </c>
      <c r="K613" t="s" s="1">
        <v>562</v>
      </c>
      <c r="L613" t="s" s="1">
        <v>7</v>
      </c>
      <c r="M613" t="n" s="5">
        <v>5800.0</v>
      </c>
      <c r="N613" t="n" s="7">
        <v>44872.0</v>
      </c>
      <c r="O613" t="n" s="7">
        <v>44926.0</v>
      </c>
      <c r="P613" t="s" s="1">
        <v>3259</v>
      </c>
    </row>
    <row r="614" spans="1:16">
      <c r="A614" t="n" s="4">
        <v>610</v>
      </c>
      <c r="B614" s="2">
        <f>HYPERLINK("https://my.zakupki.prom.ua/remote/dispatcher/state_purchase_view/38387411", "UA-2022-11-07-007184-a")</f>
        <v/>
      </c>
      <c r="C614" t="s" s="2">
        <v>2890</v>
      </c>
      <c r="D614" s="2">
        <f>HYPERLINK("https://my.zakupki.prom.ua/remote/dispatcher/state_contracting_view/14479461", "UA-2022-11-07-007184-a-c1")</f>
        <v/>
      </c>
      <c r="E614" t="s" s="1">
        <v>1345</v>
      </c>
      <c r="F614" t="s" s="1">
        <v>2522</v>
      </c>
      <c r="G614" t="s" s="1">
        <v>2522</v>
      </c>
      <c r="H614" t="s" s="1">
        <v>769</v>
      </c>
      <c r="I614" t="s" s="1">
        <v>2017</v>
      </c>
      <c r="J614" t="s" s="1">
        <v>2045</v>
      </c>
      <c r="K614" t="s" s="1">
        <v>562</v>
      </c>
      <c r="L614" t="s" s="1">
        <v>9</v>
      </c>
      <c r="M614" t="n" s="5">
        <v>19950.0</v>
      </c>
      <c r="N614" t="n" s="7">
        <v>44872.0</v>
      </c>
      <c r="O614" t="n" s="7">
        <v>44926.0</v>
      </c>
      <c r="P614" t="s" s="1">
        <v>3259</v>
      </c>
    </row>
    <row r="615" spans="1:16">
      <c r="A615" t="n" s="4">
        <v>611</v>
      </c>
      <c r="B615" s="2">
        <f>HYPERLINK("https://my.zakupki.prom.ua/remote/dispatcher/state_purchase_view/38146447", "UA-2022-10-25-004498-a")</f>
        <v/>
      </c>
      <c r="C615" s="2">
        <f>HYPERLINK("https://my.zakupki.prom.ua/remote/dispatcher/state_purchase_lot_view/771139", "UA-2022-10-25-004498-a-L771139")</f>
        <v/>
      </c>
      <c r="D615" s="2">
        <f>HYPERLINK("https://my.zakupki.prom.ua/remote/dispatcher/state_contracting_view/14554780", "UA-2022-10-25-004498-a-a1")</f>
        <v/>
      </c>
      <c r="E615" t="s" s="1">
        <v>1470</v>
      </c>
      <c r="F615" t="s" s="1">
        <v>2371</v>
      </c>
      <c r="G615" t="s" s="1">
        <v>2370</v>
      </c>
      <c r="H615" t="s" s="1">
        <v>640</v>
      </c>
      <c r="I615" t="s" s="1">
        <v>1934</v>
      </c>
      <c r="J615" t="s" s="1">
        <v>3196</v>
      </c>
      <c r="K615" t="s" s="1">
        <v>647</v>
      </c>
      <c r="L615" t="s" s="1">
        <v>1216</v>
      </c>
      <c r="M615" t="n" s="5">
        <v>609800.0</v>
      </c>
      <c r="N615" t="n" s="7">
        <v>44879.0</v>
      </c>
      <c r="O615" t="n" s="7">
        <v>44926.0</v>
      </c>
      <c r="P615" t="s" s="1">
        <v>3259</v>
      </c>
    </row>
    <row r="616" spans="1:16">
      <c r="A616" t="n" s="4">
        <v>612</v>
      </c>
      <c r="B616" s="2">
        <f>HYPERLINK("https://my.zakupki.prom.ua/remote/dispatcher/state_purchase_view/38591496", "UA-2022-11-16-001409-a")</f>
        <v/>
      </c>
      <c r="C616" t="s" s="2">
        <v>2890</v>
      </c>
      <c r="D616" s="2">
        <f>HYPERLINK("https://my.zakupki.prom.ua/remote/dispatcher/state_contracting_view/14573030", "UA-2022-11-16-001409-a-c1")</f>
        <v/>
      </c>
      <c r="E616" t="s" s="1">
        <v>1179</v>
      </c>
      <c r="F616" t="s" s="1">
        <v>2751</v>
      </c>
      <c r="G616" t="s" s="1">
        <v>2751</v>
      </c>
      <c r="H616" t="s" s="1">
        <v>1421</v>
      </c>
      <c r="I616" t="s" s="1">
        <v>2017</v>
      </c>
      <c r="J616" t="s" s="1">
        <v>2901</v>
      </c>
      <c r="K616" t="s" s="1">
        <v>264</v>
      </c>
      <c r="L616" t="s" s="1">
        <v>1498</v>
      </c>
      <c r="M616" t="n" s="5">
        <v>890.0</v>
      </c>
      <c r="N616" t="n" s="7">
        <v>44881.0</v>
      </c>
      <c r="O616" t="n" s="7">
        <v>44926.0</v>
      </c>
      <c r="P616" t="s" s="1">
        <v>3259</v>
      </c>
    </row>
    <row r="617" spans="1:16">
      <c r="A617" t="n" s="4">
        <v>613</v>
      </c>
      <c r="B617" s="2">
        <f>HYPERLINK("https://my.zakupki.prom.ua/remote/dispatcher/state_purchase_view/38610366", "UA-2022-11-16-010743-a")</f>
        <v/>
      </c>
      <c r="C617" s="2">
        <f>HYPERLINK("https://my.zakupki.prom.ua/remote/dispatcher/state_purchase_lot_view/788630", "UA-2022-11-16-010743-a-L788630")</f>
        <v/>
      </c>
      <c r="D617" s="2">
        <f>HYPERLINK("https://my.zakupki.prom.ua/remote/dispatcher/state_contracting_view/14807386", "UA-2022-11-16-010743-a-c1")</f>
        <v/>
      </c>
      <c r="E617" t="s" s="1">
        <v>930</v>
      </c>
      <c r="F617" t="s" s="1">
        <v>2128</v>
      </c>
      <c r="G617" t="s" s="1">
        <v>2883</v>
      </c>
      <c r="H617" t="s" s="1">
        <v>754</v>
      </c>
      <c r="I617" t="s" s="1">
        <v>1934</v>
      </c>
      <c r="J617" t="s" s="1">
        <v>3085</v>
      </c>
      <c r="K617" t="s" s="1">
        <v>794</v>
      </c>
      <c r="L617" t="s" s="1">
        <v>1266</v>
      </c>
      <c r="M617" t="n" s="5">
        <v>770800.0</v>
      </c>
      <c r="N617" t="n" s="7">
        <v>44902.0</v>
      </c>
      <c r="O617" t="n" s="7">
        <v>44926.0</v>
      </c>
      <c r="P617" t="s" s="1">
        <v>3259</v>
      </c>
    </row>
    <row r="618" spans="1:16">
      <c r="A618" t="n" s="4">
        <v>614</v>
      </c>
      <c r="B618" s="2">
        <f>HYPERLINK("https://my.zakupki.prom.ua/remote/dispatcher/state_purchase_view/39741938", "UA-2022-12-26-009433-a")</f>
        <v/>
      </c>
      <c r="C618" t="s" s="2">
        <v>2890</v>
      </c>
      <c r="D618" s="2">
        <f>HYPERLINK("https://my.zakupki.prom.ua/remote/dispatcher/state_contracting_view/15110690", "UA-2022-12-26-009433-a-a1")</f>
        <v/>
      </c>
      <c r="E618" t="s" s="1">
        <v>1756</v>
      </c>
      <c r="F618" t="s" s="1">
        <v>2548</v>
      </c>
      <c r="G618" t="s" s="1">
        <v>2949</v>
      </c>
      <c r="H618" t="s" s="1">
        <v>790</v>
      </c>
      <c r="I618" t="s" s="1">
        <v>2017</v>
      </c>
      <c r="J618" t="s" s="1">
        <v>2929</v>
      </c>
      <c r="K618" t="s" s="1">
        <v>688</v>
      </c>
      <c r="L618" t="s" s="1">
        <v>1356</v>
      </c>
      <c r="M618" t="n" s="5">
        <v>1482.0</v>
      </c>
      <c r="N618" t="n" s="7">
        <v>44921.0</v>
      </c>
      <c r="O618" t="n" s="7">
        <v>44926.0</v>
      </c>
      <c r="P618" t="s" s="1">
        <v>3259</v>
      </c>
    </row>
    <row r="619" spans="1:16">
      <c r="A619" t="n" s="4">
        <v>615</v>
      </c>
      <c r="B619" s="2">
        <f>HYPERLINK("https://my.zakupki.prom.ua/remote/dispatcher/state_purchase_view/35615560", "UA-2022-03-10-002969-a")</f>
        <v/>
      </c>
      <c r="C619" t="s" s="2">
        <v>2890</v>
      </c>
      <c r="D619" s="2">
        <f>HYPERLINK("https://my.zakupki.prom.ua/remote/dispatcher/state_contracting_view/13105481", "UA-2022-03-10-002969-a-a1")</f>
        <v/>
      </c>
      <c r="E619" t="s" s="1">
        <v>295</v>
      </c>
      <c r="F619" t="s" s="1">
        <v>2501</v>
      </c>
      <c r="G619" t="s" s="1">
        <v>3279</v>
      </c>
      <c r="H619" t="s" s="1">
        <v>657</v>
      </c>
      <c r="I619" t="s" s="1">
        <v>2017</v>
      </c>
      <c r="J619" t="s" s="1">
        <v>3067</v>
      </c>
      <c r="K619" t="s" s="1">
        <v>398</v>
      </c>
      <c r="L619" t="s" s="1">
        <v>159</v>
      </c>
      <c r="M619" t="n" s="5">
        <v>9306.97</v>
      </c>
      <c r="N619" t="n" s="7">
        <v>44630.0</v>
      </c>
      <c r="O619" t="n" s="7">
        <v>44926.0</v>
      </c>
      <c r="P619" t="s" s="1">
        <v>3259</v>
      </c>
    </row>
    <row r="620" spans="1:16">
      <c r="A620" t="n" s="4">
        <v>616</v>
      </c>
      <c r="B620" s="2">
        <f>HYPERLINK("https://my.zakupki.prom.ua/remote/dispatcher/state_purchase_view/36034032", "UA-2022-05-02-001160-a")</f>
        <v/>
      </c>
      <c r="C620" t="s" s="2">
        <v>2890</v>
      </c>
      <c r="D620" s="2">
        <f>HYPERLINK("https://my.zakupki.prom.ua/remote/dispatcher/state_contracting_view/13325181", "UA-2022-05-02-001160-a-a1")</f>
        <v/>
      </c>
      <c r="E620" t="s" s="1">
        <v>364</v>
      </c>
      <c r="F620" t="s" s="1">
        <v>2712</v>
      </c>
      <c r="G620" t="s" s="1">
        <v>2712</v>
      </c>
      <c r="H620" t="s" s="1">
        <v>1319</v>
      </c>
      <c r="I620" t="s" s="1">
        <v>2017</v>
      </c>
      <c r="J620" t="s" s="1">
        <v>1907</v>
      </c>
      <c r="K620" t="s" s="1">
        <v>263</v>
      </c>
      <c r="L620" t="s" s="1">
        <v>442</v>
      </c>
      <c r="M620" t="n" s="5">
        <v>10821.3</v>
      </c>
      <c r="N620" t="n" s="7">
        <v>44683.0</v>
      </c>
      <c r="O620" t="n" s="7">
        <v>44926.0</v>
      </c>
      <c r="P620" t="s" s="1">
        <v>3259</v>
      </c>
    </row>
    <row r="621" spans="1:16">
      <c r="A621" t="n" s="4">
        <v>617</v>
      </c>
      <c r="B621" s="2">
        <f>HYPERLINK("https://my.zakupki.prom.ua/remote/dispatcher/state_purchase_view/36140320", "UA-2022-05-17-000819-a")</f>
        <v/>
      </c>
      <c r="C621" t="s" s="2">
        <v>2890</v>
      </c>
      <c r="D621" s="2">
        <f>HYPERLINK("https://my.zakupki.prom.ua/remote/dispatcher/state_contracting_view/13378745", "UA-2022-05-17-000819-a-a1")</f>
        <v/>
      </c>
      <c r="E621" t="s" s="1">
        <v>1019</v>
      </c>
      <c r="F621" t="s" s="1">
        <v>2713</v>
      </c>
      <c r="G621" t="s" s="1">
        <v>2713</v>
      </c>
      <c r="H621" t="s" s="1">
        <v>1319</v>
      </c>
      <c r="I621" t="s" s="1">
        <v>2017</v>
      </c>
      <c r="J621" t="s" s="1">
        <v>1907</v>
      </c>
      <c r="K621" t="s" s="1">
        <v>263</v>
      </c>
      <c r="L621" t="s" s="1">
        <v>478</v>
      </c>
      <c r="M621" t="n" s="5">
        <v>4225.28</v>
      </c>
      <c r="N621" t="n" s="7">
        <v>44697.0</v>
      </c>
      <c r="O621" t="n" s="7">
        <v>44926.0</v>
      </c>
      <c r="P621" t="s" s="1">
        <v>3259</v>
      </c>
    </row>
    <row r="622" spans="1:16">
      <c r="A622" t="n" s="4">
        <v>618</v>
      </c>
      <c r="B622" s="2">
        <f>HYPERLINK("https://my.zakupki.prom.ua/remote/dispatcher/state_purchase_view/36189582", "UA-2022-05-24-000324-a")</f>
        <v/>
      </c>
      <c r="C622" t="s" s="2">
        <v>2890</v>
      </c>
      <c r="D622" s="2">
        <f>HYPERLINK("https://my.zakupki.prom.ua/remote/dispatcher/state_contracting_view/13404316", "UA-2022-05-24-000324-a-b1")</f>
        <v/>
      </c>
      <c r="E622" t="s" s="1">
        <v>1776</v>
      </c>
      <c r="F622" t="s" s="1">
        <v>2247</v>
      </c>
      <c r="G622" t="s" s="1">
        <v>2247</v>
      </c>
      <c r="H622" t="s" s="1">
        <v>377</v>
      </c>
      <c r="I622" t="s" s="1">
        <v>2017</v>
      </c>
      <c r="J622" t="s" s="1">
        <v>1952</v>
      </c>
      <c r="K622" t="s" s="1">
        <v>540</v>
      </c>
      <c r="L622" t="s" s="1">
        <v>496</v>
      </c>
      <c r="M622" t="n" s="5">
        <v>195.0</v>
      </c>
      <c r="N622" t="n" s="7">
        <v>44705.0</v>
      </c>
      <c r="O622" t="n" s="7">
        <v>44926.0</v>
      </c>
      <c r="P622" t="s" s="1">
        <v>3259</v>
      </c>
    </row>
    <row r="623" spans="1:16">
      <c r="A623" t="n" s="4">
        <v>619</v>
      </c>
      <c r="B623" s="2">
        <f>HYPERLINK("https://my.zakupki.prom.ua/remote/dispatcher/state_purchase_view/35685848", "UA-2022-03-18-000391-a")</f>
        <v/>
      </c>
      <c r="C623" t="s" s="2">
        <v>2890</v>
      </c>
      <c r="D623" s="2">
        <f>HYPERLINK("https://my.zakupki.prom.ua/remote/dispatcher/state_contracting_view/13143191", "UA-2022-03-18-000391-a-a1")</f>
        <v/>
      </c>
      <c r="E623" t="s" s="1">
        <v>1440</v>
      </c>
      <c r="F623" t="s" s="1">
        <v>2079</v>
      </c>
      <c r="G623" t="s" s="1">
        <v>2079</v>
      </c>
      <c r="H623" t="s" s="1">
        <v>379</v>
      </c>
      <c r="I623" t="s" s="1">
        <v>2017</v>
      </c>
      <c r="J623" t="s" s="1">
        <v>1965</v>
      </c>
      <c r="K623" t="s" s="1">
        <v>553</v>
      </c>
      <c r="L623" t="s" s="1">
        <v>226</v>
      </c>
      <c r="M623" t="n" s="5">
        <v>3854.0</v>
      </c>
      <c r="N623" t="n" s="7">
        <v>44638.0</v>
      </c>
      <c r="O623" t="n" s="7">
        <v>44926.0</v>
      </c>
      <c r="P623" t="s" s="1">
        <v>3259</v>
      </c>
    </row>
    <row r="624" spans="1:16">
      <c r="A624" t="n" s="4">
        <v>620</v>
      </c>
      <c r="B624" s="2">
        <f>HYPERLINK("https://my.zakupki.prom.ua/remote/dispatcher/state_purchase_view/36405363", "UA-2022-06-17-000787-a")</f>
        <v/>
      </c>
      <c r="C624" t="s" s="2">
        <v>2890</v>
      </c>
      <c r="D624" s="2">
        <f>HYPERLINK("https://my.zakupki.prom.ua/remote/dispatcher/state_contracting_view/13514599", "UA-2022-06-17-000787-a-b1")</f>
        <v/>
      </c>
      <c r="E624" t="s" s="1">
        <v>1560</v>
      </c>
      <c r="F624" t="s" s="1">
        <v>2455</v>
      </c>
      <c r="G624" t="s" s="1">
        <v>1919</v>
      </c>
      <c r="H624" t="s" s="1">
        <v>650</v>
      </c>
      <c r="I624" t="s" s="1">
        <v>2017</v>
      </c>
      <c r="J624" t="s" s="1">
        <v>3113</v>
      </c>
      <c r="K624" t="s" s="1">
        <v>398</v>
      </c>
      <c r="L624" t="s" s="1">
        <v>660</v>
      </c>
      <c r="M624" t="n" s="5">
        <v>60984.0</v>
      </c>
      <c r="N624" t="n" s="7">
        <v>44728.0</v>
      </c>
      <c r="O624" t="n" s="7">
        <v>44926.0</v>
      </c>
      <c r="P624" t="s" s="1">
        <v>3259</v>
      </c>
    </row>
    <row r="625" spans="1:16">
      <c r="A625" t="n" s="4">
        <v>621</v>
      </c>
      <c r="B625" s="2">
        <f>HYPERLINK("https://my.zakupki.prom.ua/remote/dispatcher/state_purchase_view/35222595", "UA-2022-02-16-002837-b")</f>
        <v/>
      </c>
      <c r="C625" t="s" s="2">
        <v>2890</v>
      </c>
      <c r="D625" s="2">
        <f>HYPERLINK("https://my.zakupki.prom.ua/remote/dispatcher/state_contracting_view/12914291", "UA-2022-02-16-002837-b-b1")</f>
        <v/>
      </c>
      <c r="E625" t="s" s="1">
        <v>1700</v>
      </c>
      <c r="F625" t="s" s="1">
        <v>2421</v>
      </c>
      <c r="G625" t="s" s="1">
        <v>3007</v>
      </c>
      <c r="H625" t="s" s="1">
        <v>650</v>
      </c>
      <c r="I625" t="s" s="1">
        <v>2017</v>
      </c>
      <c r="J625" t="s" s="1">
        <v>3060</v>
      </c>
      <c r="K625" t="s" s="1">
        <v>652</v>
      </c>
      <c r="L625" t="s" s="1">
        <v>951</v>
      </c>
      <c r="M625" t="n" s="5">
        <v>2700.0</v>
      </c>
      <c r="N625" t="n" s="7">
        <v>44607.0</v>
      </c>
      <c r="O625" t="n" s="7">
        <v>44926.0</v>
      </c>
      <c r="P625" t="s" s="1">
        <v>3259</v>
      </c>
    </row>
    <row r="626" spans="1:16">
      <c r="A626" t="n" s="4">
        <v>622</v>
      </c>
      <c r="B626" s="2">
        <f>HYPERLINK("https://my.zakupki.prom.ua/remote/dispatcher/state_purchase_view/36347173", "UA-2022-06-10-003580-a")</f>
        <v/>
      </c>
      <c r="C626" t="s" s="2">
        <v>2890</v>
      </c>
      <c r="D626" s="2">
        <f>HYPERLINK("https://my.zakupki.prom.ua/remote/dispatcher/state_contracting_view/13484882", "UA-2022-06-10-003580-a-b1")</f>
        <v/>
      </c>
      <c r="E626" t="s" s="1">
        <v>804</v>
      </c>
      <c r="F626" t="s" s="1">
        <v>2729</v>
      </c>
      <c r="G626" t="s" s="1">
        <v>2729</v>
      </c>
      <c r="H626" t="s" s="1">
        <v>1322</v>
      </c>
      <c r="I626" t="s" s="1">
        <v>2017</v>
      </c>
      <c r="J626" t="s" s="1">
        <v>3135</v>
      </c>
      <c r="K626" t="s" s="1">
        <v>705</v>
      </c>
      <c r="L626" t="s" s="1">
        <v>581</v>
      </c>
      <c r="M626" t="n" s="5">
        <v>5718.26</v>
      </c>
      <c r="N626" t="n" s="7">
        <v>44722.0</v>
      </c>
      <c r="O626" t="n" s="7">
        <v>44925.0</v>
      </c>
      <c r="P626" t="s" s="1">
        <v>3259</v>
      </c>
    </row>
    <row r="627" spans="1:16">
      <c r="A627" t="n" s="4">
        <v>623</v>
      </c>
      <c r="B627" s="2">
        <f>HYPERLINK("https://my.zakupki.prom.ua/remote/dispatcher/state_purchase_view/37112390", "UA-2022-08-17-007370-a")</f>
        <v/>
      </c>
      <c r="C627" t="s" s="2">
        <v>2890</v>
      </c>
      <c r="D627" s="2">
        <f>HYPERLINK("https://my.zakupki.prom.ua/remote/dispatcher/state_contracting_view/13938138", "UA-2022-08-17-007370-a-b1")</f>
        <v/>
      </c>
      <c r="E627" t="s" s="1">
        <v>1008</v>
      </c>
      <c r="F627" t="s" s="1">
        <v>2075</v>
      </c>
      <c r="G627" t="s" s="1">
        <v>2075</v>
      </c>
      <c r="H627" t="s" s="1">
        <v>943</v>
      </c>
      <c r="I627" t="s" s="1">
        <v>3022</v>
      </c>
      <c r="J627" t="s" s="1">
        <v>3161</v>
      </c>
      <c r="K627" t="s" s="1">
        <v>761</v>
      </c>
      <c r="L627" t="s" s="1">
        <v>1023</v>
      </c>
      <c r="M627" t="n" s="5">
        <v>4324975.2</v>
      </c>
      <c r="N627" t="n" s="7">
        <v>44804.0</v>
      </c>
      <c r="O627" t="n" s="7">
        <v>44916.0</v>
      </c>
      <c r="P627" t="s" s="1">
        <v>3259</v>
      </c>
    </row>
    <row r="628" spans="1:16">
      <c r="A628" t="n" s="4">
        <v>624</v>
      </c>
      <c r="B628" s="2">
        <f>HYPERLINK("https://my.zakupki.prom.ua/remote/dispatcher/state_purchase_view/36421932", "UA-2022-06-20-002775-a")</f>
        <v/>
      </c>
      <c r="C628" t="s" s="2">
        <v>2890</v>
      </c>
      <c r="D628" s="2">
        <f>HYPERLINK("https://my.zakupki.prom.ua/remote/dispatcher/state_contracting_view/13523259", "UA-2022-06-20-002775-a-b1")</f>
        <v/>
      </c>
      <c r="E628" t="s" s="1">
        <v>1555</v>
      </c>
      <c r="F628" t="s" s="1">
        <v>2748</v>
      </c>
      <c r="G628" t="s" s="1">
        <v>2748</v>
      </c>
      <c r="H628" t="s" s="1">
        <v>1420</v>
      </c>
      <c r="I628" t="s" s="1">
        <v>2017</v>
      </c>
      <c r="J628" t="s" s="1">
        <v>1969</v>
      </c>
      <c r="K628" t="s" s="1">
        <v>317</v>
      </c>
      <c r="L628" t="s" s="1">
        <v>129</v>
      </c>
      <c r="M628" t="n" s="5">
        <v>483.78</v>
      </c>
      <c r="N628" t="n" s="7">
        <v>44732.0</v>
      </c>
      <c r="O628" t="n" s="7">
        <v>44899.0</v>
      </c>
      <c r="P628" t="s" s="1">
        <v>3259</v>
      </c>
    </row>
    <row r="629" spans="1:16">
      <c r="A629" t="n" s="4">
        <v>625</v>
      </c>
      <c r="B629" s="2">
        <f>HYPERLINK("https://my.zakupki.prom.ua/remote/dispatcher/state_purchase_view/38406435", "UA-2022-11-08-002069-a")</f>
        <v/>
      </c>
      <c r="C629" t="s" s="2">
        <v>2890</v>
      </c>
      <c r="D629" s="2">
        <f>HYPERLINK("https://my.zakupki.prom.ua/remote/dispatcher/state_contracting_view/14494924", "UA-2022-11-08-002069-a-b1")</f>
        <v/>
      </c>
      <c r="E629" t="s" s="1">
        <v>1465</v>
      </c>
      <c r="F629" t="s" s="1">
        <v>2704</v>
      </c>
      <c r="G629" t="s" s="1">
        <v>2704</v>
      </c>
      <c r="H629" t="s" s="1">
        <v>1314</v>
      </c>
      <c r="I629" t="s" s="1">
        <v>2017</v>
      </c>
      <c r="J629" t="s" s="1">
        <v>2838</v>
      </c>
      <c r="K629" t="s" s="1">
        <v>333</v>
      </c>
      <c r="L629" t="s" s="1">
        <v>1199</v>
      </c>
      <c r="M629" t="n" s="5">
        <v>47406.32</v>
      </c>
      <c r="N629" t="n" s="7">
        <v>44873.0</v>
      </c>
      <c r="O629" t="n" s="7">
        <v>44895.0</v>
      </c>
      <c r="P629" t="s" s="1">
        <v>3259</v>
      </c>
    </row>
    <row r="630" spans="1:16">
      <c r="A630" t="n" s="4">
        <v>626</v>
      </c>
      <c r="B630" s="2">
        <f>HYPERLINK("https://my.zakupki.prom.ua/remote/dispatcher/state_purchase_view/38776842", "UA-2022-11-24-001178-a")</f>
        <v/>
      </c>
      <c r="C630" t="s" s="2">
        <v>2890</v>
      </c>
      <c r="D630" s="2">
        <f>HYPERLINK("https://my.zakupki.prom.ua/remote/dispatcher/state_contracting_view/14658763", "UA-2022-11-24-001178-a-a1")</f>
        <v/>
      </c>
      <c r="E630" t="s" s="1">
        <v>35</v>
      </c>
      <c r="F630" t="s" s="1">
        <v>2775</v>
      </c>
      <c r="G630" t="s" s="1">
        <v>1938</v>
      </c>
      <c r="H630" t="s" s="1">
        <v>1445</v>
      </c>
      <c r="I630" t="s" s="1">
        <v>2017</v>
      </c>
      <c r="J630" t="s" s="1">
        <v>3113</v>
      </c>
      <c r="K630" t="s" s="1">
        <v>398</v>
      </c>
      <c r="L630" t="s" s="1">
        <v>1248</v>
      </c>
      <c r="M630" t="n" s="5">
        <v>3462.61</v>
      </c>
      <c r="N630" t="n" s="7">
        <v>44888.0</v>
      </c>
      <c r="O630" t="n" s="7">
        <v>44895.0</v>
      </c>
      <c r="P630" t="s" s="1">
        <v>3259</v>
      </c>
    </row>
    <row r="631" spans="1:16">
      <c r="A631" t="n" s="4">
        <v>627</v>
      </c>
      <c r="B631" s="2">
        <f>HYPERLINK("https://my.zakupki.prom.ua/remote/dispatcher/state_purchase_view/37782563", "UA-2022-10-03-002029-a")</f>
        <v/>
      </c>
      <c r="C631" t="s" s="2">
        <v>2890</v>
      </c>
      <c r="D631" s="2">
        <f>HYPERLINK("https://my.zakupki.prom.ua/remote/dispatcher/state_contracting_view/14180900", "UA-2022-10-03-002029-a-b1")</f>
        <v/>
      </c>
      <c r="E631" t="s" s="1">
        <v>1595</v>
      </c>
      <c r="F631" t="s" s="1">
        <v>2654</v>
      </c>
      <c r="G631" t="s" s="1">
        <v>2947</v>
      </c>
      <c r="H631" t="s" s="1">
        <v>984</v>
      </c>
      <c r="I631" t="s" s="1">
        <v>2017</v>
      </c>
      <c r="J631" t="s" s="1">
        <v>3116</v>
      </c>
      <c r="K631" t="s" s="1">
        <v>770</v>
      </c>
      <c r="L631" t="s" s="1">
        <v>354</v>
      </c>
      <c r="M631" t="n" s="5">
        <v>3150.0</v>
      </c>
      <c r="N631" t="n" s="7">
        <v>44837.0</v>
      </c>
      <c r="O631" t="n" s="7">
        <v>44895.0</v>
      </c>
      <c r="P631" t="s" s="1">
        <v>3259</v>
      </c>
    </row>
    <row r="632" spans="1:16">
      <c r="A632" t="n" s="4">
        <v>628</v>
      </c>
      <c r="B632" s="2">
        <f>HYPERLINK("https://my.zakupki.prom.ua/remote/dispatcher/state_purchase_view/38018391", "UA-2022-10-18-000551-a")</f>
        <v/>
      </c>
      <c r="C632" t="s" s="2">
        <v>2890</v>
      </c>
      <c r="D632" s="2">
        <f>HYPERLINK("https://my.zakupki.prom.ua/remote/dispatcher/state_contracting_view/14463445", "UA-2022-10-18-000551-a-c1")</f>
        <v/>
      </c>
      <c r="E632" t="s" s="1">
        <v>286</v>
      </c>
      <c r="F632" t="s" s="1">
        <v>2131</v>
      </c>
      <c r="G632" t="s" s="1">
        <v>3003</v>
      </c>
      <c r="H632" t="s" s="1">
        <v>636</v>
      </c>
      <c r="I632" t="s" s="1">
        <v>3022</v>
      </c>
      <c r="J632" t="s" s="1">
        <v>3165</v>
      </c>
      <c r="K632" t="s" s="1">
        <v>717</v>
      </c>
      <c r="L632" t="s" s="1">
        <v>1194</v>
      </c>
      <c r="M632" t="n" s="5">
        <v>240000.0</v>
      </c>
      <c r="N632" t="n" s="7">
        <v>44869.0</v>
      </c>
      <c r="O632" t="n" s="7">
        <v>44886.0</v>
      </c>
      <c r="P632" t="s" s="1">
        <v>3259</v>
      </c>
    </row>
    <row r="633" spans="1:16">
      <c r="A633" t="n" s="4">
        <v>629</v>
      </c>
      <c r="B633" s="2">
        <f>HYPERLINK("https://my.zakupki.prom.ua/remote/dispatcher/state_purchase_view/37224446", "UA-2022-08-25-007491-a")</f>
        <v/>
      </c>
      <c r="C633" t="s" s="2">
        <v>2890</v>
      </c>
      <c r="D633" s="2">
        <f>HYPERLINK("https://my.zakupki.prom.ua/remote/dispatcher/state_contracting_view/13907353", "UA-2022-08-25-007491-a-b1")</f>
        <v/>
      </c>
      <c r="E633" t="s" s="1">
        <v>1197</v>
      </c>
      <c r="F633" t="s" s="1">
        <v>2168</v>
      </c>
      <c r="G633" t="s" s="1">
        <v>1914</v>
      </c>
      <c r="H633" t="s" s="1">
        <v>68</v>
      </c>
      <c r="I633" t="s" s="1">
        <v>2017</v>
      </c>
      <c r="J633" t="s" s="1">
        <v>3128</v>
      </c>
      <c r="K633" t="s" s="1">
        <v>777</v>
      </c>
      <c r="L633" t="s" s="1">
        <v>994</v>
      </c>
      <c r="M633" t="n" s="5">
        <v>49780.0</v>
      </c>
      <c r="N633" t="n" s="7">
        <v>44797.0</v>
      </c>
      <c r="O633" t="n" s="7">
        <v>44886.0</v>
      </c>
      <c r="P633" t="s" s="1">
        <v>3259</v>
      </c>
    </row>
    <row r="634" spans="1:16">
      <c r="A634" t="n" s="4">
        <v>630</v>
      </c>
      <c r="B634" s="2">
        <f>HYPERLINK("https://my.zakupki.prom.ua/remote/dispatcher/state_purchase_view/38055247", "UA-2022-10-19-007591-a")</f>
        <v/>
      </c>
      <c r="C634" t="s" s="2">
        <v>2890</v>
      </c>
      <c r="D634" s="2">
        <f>HYPERLINK("https://my.zakupki.prom.ua/remote/dispatcher/state_contracting_view/14314090", "UA-2022-10-19-007591-a-c1")</f>
        <v/>
      </c>
      <c r="E634" t="s" s="1">
        <v>1461</v>
      </c>
      <c r="F634" t="s" s="1">
        <v>2318</v>
      </c>
      <c r="G634" t="s" s="1">
        <v>3151</v>
      </c>
      <c r="H634" t="s" s="1">
        <v>636</v>
      </c>
      <c r="I634" t="s" s="1">
        <v>2017</v>
      </c>
      <c r="J634" t="s" s="1">
        <v>3098</v>
      </c>
      <c r="K634" t="s" s="1">
        <v>652</v>
      </c>
      <c r="L634" t="s" s="1">
        <v>326</v>
      </c>
      <c r="M634" t="n" s="5">
        <v>143530.0</v>
      </c>
      <c r="N634" t="n" s="7">
        <v>44853.0</v>
      </c>
      <c r="O634" t="n" s="7">
        <v>44886.0</v>
      </c>
      <c r="P634" t="s" s="1">
        <v>3259</v>
      </c>
    </row>
    <row r="635" spans="1:16">
      <c r="A635" t="n" s="4">
        <v>631</v>
      </c>
      <c r="B635" s="2">
        <f>HYPERLINK("https://my.zakupki.prom.ua/remote/dispatcher/state_purchase_view/37220837", "UA-2022-08-25-005582-a")</f>
        <v/>
      </c>
      <c r="C635" t="s" s="2">
        <v>2890</v>
      </c>
      <c r="D635" s="2">
        <f>HYPERLINK("https://my.zakupki.prom.ua/remote/dispatcher/state_contracting_view/13997245", "UA-2022-08-25-005582-a-b1")</f>
        <v/>
      </c>
      <c r="E635" t="s" s="1">
        <v>1151</v>
      </c>
      <c r="F635" t="s" s="1">
        <v>2388</v>
      </c>
      <c r="G635" t="s" s="1">
        <v>2388</v>
      </c>
      <c r="H635" t="s" s="1">
        <v>642</v>
      </c>
      <c r="I635" t="s" s="1">
        <v>3022</v>
      </c>
      <c r="J635" t="s" s="1">
        <v>2839</v>
      </c>
      <c r="K635" t="s" s="1">
        <v>318</v>
      </c>
      <c r="L635" t="s" s="1">
        <v>1044</v>
      </c>
      <c r="M635" t="n" s="5">
        <v>54980.88</v>
      </c>
      <c r="N635" t="n" s="7">
        <v>44812.0</v>
      </c>
      <c r="O635" t="n" s="7">
        <v>44886.0</v>
      </c>
      <c r="P635" t="s" s="1">
        <v>3259</v>
      </c>
    </row>
    <row r="636" spans="1:16">
      <c r="A636" t="n" s="4">
        <v>632</v>
      </c>
      <c r="B636" s="2">
        <f>HYPERLINK("https://my.zakupki.prom.ua/remote/dispatcher/state_purchase_view/37346826", "UA-2022-09-05-004106-a")</f>
        <v/>
      </c>
      <c r="C636" t="s" s="2">
        <v>2890</v>
      </c>
      <c r="D636" s="2">
        <f>HYPERLINK("https://my.zakupki.prom.ua/remote/dispatcher/state_contracting_view/13967183", "UA-2022-09-05-004106-a-b1")</f>
        <v/>
      </c>
      <c r="E636" t="s" s="1">
        <v>504</v>
      </c>
      <c r="F636" t="s" s="1">
        <v>2369</v>
      </c>
      <c r="G636" t="s" s="1">
        <v>1542</v>
      </c>
      <c r="H636" t="s" s="1">
        <v>640</v>
      </c>
      <c r="I636" t="s" s="1">
        <v>2017</v>
      </c>
      <c r="J636" t="s" s="1">
        <v>1945</v>
      </c>
      <c r="K636" t="s" s="1">
        <v>661</v>
      </c>
      <c r="L636" t="s" s="1">
        <v>441</v>
      </c>
      <c r="M636" t="n" s="5">
        <v>10640.0</v>
      </c>
      <c r="N636" t="n" s="7">
        <v>44806.0</v>
      </c>
      <c r="O636" t="n" s="7">
        <v>44886.0</v>
      </c>
      <c r="P636" t="s" s="1">
        <v>3259</v>
      </c>
    </row>
    <row r="637" spans="1:16">
      <c r="A637" t="n" s="4">
        <v>633</v>
      </c>
      <c r="B637" s="2">
        <f>HYPERLINK("https://my.zakupki.prom.ua/remote/dispatcher/state_purchase_view/37383215", "UA-2022-09-07-000475-a")</f>
        <v/>
      </c>
      <c r="C637" t="s" s="2">
        <v>2890</v>
      </c>
      <c r="D637" s="2">
        <f>HYPERLINK("https://my.zakupki.prom.ua/remote/dispatcher/state_contracting_view/14131165", "UA-2022-09-07-000475-a-b1")</f>
        <v/>
      </c>
      <c r="E637" t="s" s="1">
        <v>287</v>
      </c>
      <c r="F637" t="s" s="1">
        <v>2795</v>
      </c>
      <c r="G637" t="s" s="1">
        <v>2</v>
      </c>
      <c r="H637" t="s" s="1">
        <v>642</v>
      </c>
      <c r="I637" t="s" s="1">
        <v>3022</v>
      </c>
      <c r="J637" t="s" s="1">
        <v>3086</v>
      </c>
      <c r="K637" t="s" s="1">
        <v>758</v>
      </c>
      <c r="L637" t="s" s="1">
        <v>1067</v>
      </c>
      <c r="M637" t="n" s="5">
        <v>204573.0</v>
      </c>
      <c r="N637" t="n" s="7">
        <v>44830.0</v>
      </c>
      <c r="O637" t="n" s="7">
        <v>44886.0</v>
      </c>
      <c r="P637" t="s" s="1">
        <v>3259</v>
      </c>
    </row>
    <row r="638" spans="1:16">
      <c r="A638" t="n" s="4">
        <v>634</v>
      </c>
      <c r="B638" s="2">
        <f>HYPERLINK("https://my.zakupki.prom.ua/remote/dispatcher/state_purchase_view/37683478", "UA-2022-09-26-002648-a")</f>
        <v/>
      </c>
      <c r="C638" t="s" s="2">
        <v>2890</v>
      </c>
      <c r="D638" s="2">
        <f>HYPERLINK("https://my.zakupki.prom.ua/remote/dispatcher/state_contracting_view/14131620", "UA-2022-09-26-002648-a-a1")</f>
        <v/>
      </c>
      <c r="E638" t="s" s="1">
        <v>16</v>
      </c>
      <c r="F638" t="s" s="1">
        <v>2681</v>
      </c>
      <c r="G638" t="s" s="1">
        <v>2945</v>
      </c>
      <c r="H638" t="s" s="1">
        <v>1030</v>
      </c>
      <c r="I638" t="s" s="1">
        <v>2017</v>
      </c>
      <c r="J638" t="s" s="1">
        <v>3109</v>
      </c>
      <c r="K638" t="s" s="1">
        <v>823</v>
      </c>
      <c r="L638" t="s" s="1">
        <v>66</v>
      </c>
      <c r="M638" t="n" s="5">
        <v>5118.0</v>
      </c>
      <c r="N638" t="n" s="7">
        <v>44830.0</v>
      </c>
      <c r="O638" t="n" s="7">
        <v>44886.0</v>
      </c>
      <c r="P638" t="s" s="1">
        <v>3259</v>
      </c>
    </row>
    <row r="639" spans="1:16">
      <c r="A639" t="n" s="4">
        <v>635</v>
      </c>
      <c r="B639" s="2">
        <f>HYPERLINK("https://my.zakupki.prom.ua/remote/dispatcher/state_purchase_view/37435840", "UA-2022-09-09-004604-a")</f>
        <v/>
      </c>
      <c r="C639" t="s" s="2">
        <v>2890</v>
      </c>
      <c r="D639" s="2">
        <f>HYPERLINK("https://my.zakupki.prom.ua/remote/dispatcher/state_contracting_view/14164404", "UA-2022-09-09-004604-a-a1")</f>
        <v/>
      </c>
      <c r="E639" t="s" s="1">
        <v>1046</v>
      </c>
      <c r="F639" t="s" s="1">
        <v>2796</v>
      </c>
      <c r="G639" t="s" s="1">
        <v>2884</v>
      </c>
      <c r="H639" t="s" s="1">
        <v>642</v>
      </c>
      <c r="I639" t="s" s="1">
        <v>3022</v>
      </c>
      <c r="J639" t="s" s="1">
        <v>3086</v>
      </c>
      <c r="K639" t="s" s="1">
        <v>758</v>
      </c>
      <c r="L639" t="s" s="1">
        <v>1094</v>
      </c>
      <c r="M639" t="n" s="5">
        <v>127516.0</v>
      </c>
      <c r="N639" t="n" s="7">
        <v>44833.0</v>
      </c>
      <c r="O639" t="n" s="7">
        <v>44886.0</v>
      </c>
      <c r="P639" t="s" s="1">
        <v>3259</v>
      </c>
    </row>
    <row r="640" spans="1:16">
      <c r="A640" t="n" s="4">
        <v>636</v>
      </c>
      <c r="B640" s="2">
        <f>HYPERLINK("https://my.zakupki.prom.ua/remote/dispatcher/state_purchase_view/37499863", "UA-2022-09-14-003016-a")</f>
        <v/>
      </c>
      <c r="C640" t="s" s="2">
        <v>2890</v>
      </c>
      <c r="D640" s="2">
        <f>HYPERLINK("https://my.zakupki.prom.ua/remote/dispatcher/state_contracting_view/14201906", "UA-2022-09-14-003016-a-c1")</f>
        <v/>
      </c>
      <c r="E640" t="s" s="1">
        <v>1766</v>
      </c>
      <c r="F640" t="s" s="1">
        <v>2793</v>
      </c>
      <c r="G640" t="s" s="1">
        <v>2007</v>
      </c>
      <c r="H640" t="s" s="1">
        <v>640</v>
      </c>
      <c r="I640" t="s" s="1">
        <v>3022</v>
      </c>
      <c r="J640" t="s" s="1">
        <v>3196</v>
      </c>
      <c r="K640" t="s" s="1">
        <v>647</v>
      </c>
      <c r="L640" t="s" s="1">
        <v>1102</v>
      </c>
      <c r="M640" t="n" s="5">
        <v>38000.0</v>
      </c>
      <c r="N640" t="n" s="7">
        <v>44839.0</v>
      </c>
      <c r="O640" t="n" s="7">
        <v>44886.0</v>
      </c>
      <c r="P640" t="s" s="1">
        <v>3259</v>
      </c>
    </row>
    <row r="641" spans="1:16">
      <c r="A641" t="n" s="4">
        <v>637</v>
      </c>
      <c r="B641" s="2">
        <f>HYPERLINK("https://my.zakupki.prom.ua/remote/dispatcher/state_purchase_view/37774046", "UA-2022-09-30-005702-a")</f>
        <v/>
      </c>
      <c r="C641" t="s" s="2">
        <v>2890</v>
      </c>
      <c r="D641" s="2">
        <f>HYPERLINK("https://my.zakupki.prom.ua/remote/dispatcher/state_contracting_view/14176632", "UA-2022-09-30-005702-a-a1")</f>
        <v/>
      </c>
      <c r="E641" t="s" s="1">
        <v>1408</v>
      </c>
      <c r="F641" t="s" s="1">
        <v>2328</v>
      </c>
      <c r="G641" t="s" s="1">
        <v>3153</v>
      </c>
      <c r="H641" t="s" s="1">
        <v>636</v>
      </c>
      <c r="I641" t="s" s="1">
        <v>2017</v>
      </c>
      <c r="J641" t="s" s="1">
        <v>3098</v>
      </c>
      <c r="K641" t="s" s="1">
        <v>652</v>
      </c>
      <c r="L641" t="s" s="1">
        <v>310</v>
      </c>
      <c r="M641" t="n" s="5">
        <v>59000.0</v>
      </c>
      <c r="N641" t="n" s="7">
        <v>44834.0</v>
      </c>
      <c r="O641" t="n" s="7">
        <v>44886.0</v>
      </c>
      <c r="P641" t="s" s="1">
        <v>3259</v>
      </c>
    </row>
    <row r="642" spans="1:16">
      <c r="A642" t="n" s="4">
        <v>638</v>
      </c>
      <c r="B642" s="2">
        <f>HYPERLINK("https://my.zakupki.prom.ua/remote/dispatcher/state_purchase_view/37593387", "UA-2022-09-20-005573-a")</f>
        <v/>
      </c>
      <c r="C642" t="s" s="2">
        <v>2890</v>
      </c>
      <c r="D642" s="2">
        <f>HYPERLINK("https://my.zakupki.prom.ua/remote/dispatcher/state_contracting_view/14087125", "UA-2022-09-20-005573-a-c1")</f>
        <v/>
      </c>
      <c r="E642" t="s" s="1">
        <v>1807</v>
      </c>
      <c r="F642" t="s" s="1">
        <v>2711</v>
      </c>
      <c r="G642" t="s" s="1">
        <v>3160</v>
      </c>
      <c r="H642" t="s" s="1">
        <v>1319</v>
      </c>
      <c r="I642" t="s" s="1">
        <v>2017</v>
      </c>
      <c r="J642" t="s" s="1">
        <v>1924</v>
      </c>
      <c r="K642" t="s" s="1">
        <v>331</v>
      </c>
      <c r="L642" t="s" s="1">
        <v>1061</v>
      </c>
      <c r="M642" t="n" s="5">
        <v>49780.0</v>
      </c>
      <c r="N642" t="n" s="7">
        <v>44824.0</v>
      </c>
      <c r="O642" t="n" s="7">
        <v>44886.0</v>
      </c>
      <c r="P642" t="s" s="1">
        <v>3259</v>
      </c>
    </row>
    <row r="643" spans="1:16">
      <c r="A643" t="n" s="4">
        <v>639</v>
      </c>
      <c r="B643" s="2">
        <f>HYPERLINK("https://my.zakupki.prom.ua/remote/dispatcher/state_purchase_view/36954984", "UA-2022-08-05-008343-a")</f>
        <v/>
      </c>
      <c r="C643" t="s" s="2">
        <v>2890</v>
      </c>
      <c r="D643" s="2">
        <f>HYPERLINK("https://my.zakupki.prom.ua/remote/dispatcher/state_contracting_view/13889360", "UA-2022-08-05-008343-a-b1")</f>
        <v/>
      </c>
      <c r="E643" t="s" s="1">
        <v>90</v>
      </c>
      <c r="F643" t="s" s="1">
        <v>2792</v>
      </c>
      <c r="G643" t="s" s="1">
        <v>2791</v>
      </c>
      <c r="H643" t="s" s="1">
        <v>640</v>
      </c>
      <c r="I643" t="s" s="1">
        <v>3022</v>
      </c>
      <c r="J643" t="s" s="1">
        <v>3087</v>
      </c>
      <c r="K643" t="s" s="1">
        <v>870</v>
      </c>
      <c r="L643" t="s" s="1">
        <v>1006</v>
      </c>
      <c r="M643" t="n" s="5">
        <v>213000.0</v>
      </c>
      <c r="N643" t="n" s="7">
        <v>44796.0</v>
      </c>
      <c r="O643" t="n" s="7">
        <v>44886.0</v>
      </c>
      <c r="P643" t="s" s="1">
        <v>3259</v>
      </c>
    </row>
    <row r="644" spans="1:16">
      <c r="A644" t="n" s="4">
        <v>640</v>
      </c>
      <c r="B644" s="2">
        <f>HYPERLINK("https://my.zakupki.prom.ua/remote/dispatcher/state_purchase_view/38045889", "UA-2022-10-19-002774-a")</f>
        <v/>
      </c>
      <c r="C644" t="s" s="2">
        <v>2890</v>
      </c>
      <c r="D644" s="2">
        <f>HYPERLINK("https://my.zakupki.prom.ua/remote/dispatcher/state_contracting_view/14309409", "UA-2022-10-19-002774-a-b1")</f>
        <v/>
      </c>
      <c r="E644" t="s" s="1">
        <v>1677</v>
      </c>
      <c r="F644" t="s" s="1">
        <v>2268</v>
      </c>
      <c r="G644" t="s" s="1">
        <v>2023</v>
      </c>
      <c r="H644" t="s" s="1">
        <v>413</v>
      </c>
      <c r="I644" t="s" s="1">
        <v>2017</v>
      </c>
      <c r="J644" t="s" s="1">
        <v>2032</v>
      </c>
      <c r="K644" t="s" s="1">
        <v>462</v>
      </c>
      <c r="L644" t="s" s="1">
        <v>1156</v>
      </c>
      <c r="M644" t="n" s="5">
        <v>18696.0</v>
      </c>
      <c r="N644" t="n" s="7">
        <v>44853.0</v>
      </c>
      <c r="O644" t="n" s="7">
        <v>44886.0</v>
      </c>
      <c r="P644" t="s" s="1">
        <v>3259</v>
      </c>
    </row>
    <row r="645" spans="1:16">
      <c r="A645" t="n" s="4">
        <v>641</v>
      </c>
      <c r="B645" s="2">
        <f>HYPERLINK("https://my.zakupki.prom.ua/remote/dispatcher/state_purchase_view/37347249", "UA-2022-09-05-004282-a")</f>
        <v/>
      </c>
      <c r="C645" t="s" s="2">
        <v>2890</v>
      </c>
      <c r="D645" s="2">
        <f>HYPERLINK("https://my.zakupki.prom.ua/remote/dispatcher/state_contracting_view/13967429", "UA-2022-09-05-004282-a-b1")</f>
        <v/>
      </c>
      <c r="E645" t="s" s="1">
        <v>1478</v>
      </c>
      <c r="F645" t="s" s="1">
        <v>2105</v>
      </c>
      <c r="G645" t="s" s="1">
        <v>2009</v>
      </c>
      <c r="H645" t="s" s="1">
        <v>653</v>
      </c>
      <c r="I645" t="s" s="1">
        <v>2017</v>
      </c>
      <c r="J645" t="s" s="1">
        <v>3096</v>
      </c>
      <c r="K645" t="s" s="1">
        <v>694</v>
      </c>
      <c r="L645" t="s" s="1">
        <v>1037</v>
      </c>
      <c r="M645" t="n" s="5">
        <v>930.0</v>
      </c>
      <c r="N645" t="n" s="7">
        <v>44809.0</v>
      </c>
      <c r="O645" t="n" s="7">
        <v>44886.0</v>
      </c>
      <c r="P645" t="s" s="1">
        <v>3259</v>
      </c>
    </row>
    <row r="646" spans="1:16">
      <c r="A646" t="n" s="4">
        <v>642</v>
      </c>
      <c r="B646" s="2">
        <f>HYPERLINK("https://my.zakupki.prom.ua/remote/dispatcher/state_purchase_view/38234405", "UA-2022-10-28-009353-a")</f>
        <v/>
      </c>
      <c r="C646" t="s" s="2">
        <v>2890</v>
      </c>
      <c r="D646" s="2">
        <f>HYPERLINK("https://my.zakupki.prom.ua/remote/dispatcher/state_contracting_view/14405492", "UA-2022-10-28-009353-a-b1")</f>
        <v/>
      </c>
      <c r="E646" t="s" s="1">
        <v>751</v>
      </c>
      <c r="F646" t="s" s="1">
        <v>2169</v>
      </c>
      <c r="G646" t="s" s="1">
        <v>1914</v>
      </c>
      <c r="H646" t="s" s="1">
        <v>68</v>
      </c>
      <c r="I646" t="s" s="1">
        <v>2017</v>
      </c>
      <c r="J646" t="s" s="1">
        <v>3128</v>
      </c>
      <c r="K646" t="s" s="1">
        <v>777</v>
      </c>
      <c r="L646" t="s" s="1">
        <v>997</v>
      </c>
      <c r="M646" t="n" s="5">
        <v>49720.0</v>
      </c>
      <c r="N646" t="n" s="7">
        <v>44861.0</v>
      </c>
      <c r="O646" t="n" s="7">
        <v>44886.0</v>
      </c>
      <c r="P646" t="s" s="1">
        <v>3259</v>
      </c>
    </row>
    <row r="647" spans="1:16">
      <c r="A647" t="n" s="4">
        <v>643</v>
      </c>
      <c r="B647" s="2">
        <f>HYPERLINK("https://my.zakupki.prom.ua/remote/dispatcher/state_purchase_view/37918353", "UA-2022-10-11-006234-a")</f>
        <v/>
      </c>
      <c r="C647" t="s" s="2">
        <v>2890</v>
      </c>
      <c r="D647" s="2">
        <f>HYPERLINK("https://my.zakupki.prom.ua/remote/dispatcher/state_contracting_view/14246924", "UA-2022-10-11-006234-a-c1")</f>
        <v/>
      </c>
      <c r="E647" t="s" s="1">
        <v>59</v>
      </c>
      <c r="F647" t="s" s="1">
        <v>2320</v>
      </c>
      <c r="G647" t="s" s="1">
        <v>3154</v>
      </c>
      <c r="H647" t="s" s="1">
        <v>636</v>
      </c>
      <c r="I647" t="s" s="1">
        <v>2017</v>
      </c>
      <c r="J647" t="s" s="1">
        <v>3113</v>
      </c>
      <c r="K647" t="s" s="1">
        <v>398</v>
      </c>
      <c r="L647" t="s" s="1">
        <v>1114</v>
      </c>
      <c r="M647" t="n" s="5">
        <v>15678.07</v>
      </c>
      <c r="N647" t="n" s="7">
        <v>44845.0</v>
      </c>
      <c r="O647" t="n" s="7">
        <v>44886.0</v>
      </c>
      <c r="P647" t="s" s="1">
        <v>3259</v>
      </c>
    </row>
    <row r="648" spans="1:16">
      <c r="A648" t="n" s="4">
        <v>644</v>
      </c>
      <c r="B648" s="2">
        <f>HYPERLINK("https://my.zakupki.prom.ua/remote/dispatcher/state_purchase_view/37563853", "UA-2022-09-19-001305-a")</f>
        <v/>
      </c>
      <c r="C648" t="s" s="2">
        <v>2890</v>
      </c>
      <c r="D648" s="2">
        <f>HYPERLINK("https://my.zakupki.prom.ua/remote/dispatcher/state_contracting_view/14072397", "UA-2022-09-19-001305-a-b1")</f>
        <v/>
      </c>
      <c r="E648" t="s" s="1">
        <v>808</v>
      </c>
      <c r="F648" t="s" s="1">
        <v>2410</v>
      </c>
      <c r="G648" t="s" s="1">
        <v>2050</v>
      </c>
      <c r="H648" t="s" s="1">
        <v>650</v>
      </c>
      <c r="I648" t="s" s="1">
        <v>2017</v>
      </c>
      <c r="J648" t="s" s="1">
        <v>3113</v>
      </c>
      <c r="K648" t="s" s="1">
        <v>398</v>
      </c>
      <c r="L648" t="s" s="1">
        <v>1057</v>
      </c>
      <c r="M648" t="n" s="5">
        <v>9157.2</v>
      </c>
      <c r="N648" t="n" s="7">
        <v>44820.0</v>
      </c>
      <c r="O648" t="n" s="7">
        <v>44886.0</v>
      </c>
      <c r="P648" t="s" s="1">
        <v>3259</v>
      </c>
    </row>
    <row r="649" spans="1:16">
      <c r="A649" t="n" s="4">
        <v>645</v>
      </c>
      <c r="B649" s="2">
        <f>HYPERLINK("https://my.zakupki.prom.ua/remote/dispatcher/state_purchase_view/37514701", "UA-2022-09-14-010745-a")</f>
        <v/>
      </c>
      <c r="C649" t="s" s="2">
        <v>2890</v>
      </c>
      <c r="D649" s="2">
        <f>HYPERLINK("https://my.zakupki.prom.ua/remote/dispatcher/state_contracting_view/14217155", "UA-2022-09-14-010745-a-a1")</f>
        <v/>
      </c>
      <c r="E649" t="s" s="1">
        <v>1098</v>
      </c>
      <c r="F649" t="s" s="1">
        <v>2801</v>
      </c>
      <c r="G649" t="s" s="1">
        <v>1889</v>
      </c>
      <c r="H649" t="s" s="1">
        <v>650</v>
      </c>
      <c r="I649" t="s" s="1">
        <v>3022</v>
      </c>
      <c r="J649" t="s" s="1">
        <v>2909</v>
      </c>
      <c r="K649" t="s" s="1">
        <v>545</v>
      </c>
      <c r="L649" t="s" s="1">
        <v>1255</v>
      </c>
      <c r="M649" t="n" s="5">
        <v>608830.77</v>
      </c>
      <c r="N649" t="n" s="7">
        <v>44840.0</v>
      </c>
      <c r="O649" t="n" s="7">
        <v>44886.0</v>
      </c>
      <c r="P649" t="s" s="1">
        <v>3259</v>
      </c>
    </row>
    <row r="650" spans="1:16">
      <c r="A650" t="n" s="4">
        <v>646</v>
      </c>
      <c r="B650" s="2">
        <f>HYPERLINK("https://my.zakupki.prom.ua/remote/dispatcher/state_purchase_view/37856608", "UA-2022-10-06-004931-a")</f>
        <v/>
      </c>
      <c r="C650" t="s" s="2">
        <v>2890</v>
      </c>
      <c r="D650" s="2">
        <f>HYPERLINK("https://my.zakupki.prom.ua/remote/dispatcher/state_contracting_view/14216992", "UA-2022-10-06-004931-a-a1")</f>
        <v/>
      </c>
      <c r="E650" t="s" s="1">
        <v>1750</v>
      </c>
      <c r="F650" t="s" s="1">
        <v>2169</v>
      </c>
      <c r="G650" t="s" s="1">
        <v>1914</v>
      </c>
      <c r="H650" t="s" s="1">
        <v>68</v>
      </c>
      <c r="I650" t="s" s="1">
        <v>2017</v>
      </c>
      <c r="J650" t="s" s="1">
        <v>3128</v>
      </c>
      <c r="K650" t="s" s="1">
        <v>777</v>
      </c>
      <c r="L650" t="s" s="1">
        <v>996</v>
      </c>
      <c r="M650" t="n" s="5">
        <v>49720.0</v>
      </c>
      <c r="N650" t="n" s="7">
        <v>44839.0</v>
      </c>
      <c r="O650" t="n" s="7">
        <v>44886.0</v>
      </c>
      <c r="P650" t="s" s="1">
        <v>3259</v>
      </c>
    </row>
    <row r="651" spans="1:16">
      <c r="A651" t="n" s="4">
        <v>647</v>
      </c>
      <c r="B651" s="2">
        <f>HYPERLINK("https://my.zakupki.prom.ua/remote/dispatcher/state_purchase_view/36535912", "UA-2022-07-01-002035-a")</f>
        <v/>
      </c>
      <c r="C651" t="s" s="2">
        <v>2890</v>
      </c>
      <c r="D651" s="2">
        <f>HYPERLINK("https://my.zakupki.prom.ua/remote/dispatcher/state_contracting_view/13580201", "UA-2022-07-01-002035-a-b1")</f>
        <v/>
      </c>
      <c r="E651" t="s" s="1">
        <v>1494</v>
      </c>
      <c r="F651" t="s" s="1">
        <v>2680</v>
      </c>
      <c r="G651" t="s" s="1">
        <v>2680</v>
      </c>
      <c r="H651" t="s" s="1">
        <v>1029</v>
      </c>
      <c r="I651" t="s" s="1">
        <v>2017</v>
      </c>
      <c r="J651" t="s" s="1">
        <v>3093</v>
      </c>
      <c r="K651" t="s" s="1">
        <v>550</v>
      </c>
      <c r="L651" t="s" s="1">
        <v>719</v>
      </c>
      <c r="M651" t="n" s="5">
        <v>30000.0</v>
      </c>
      <c r="N651" t="n" s="7">
        <v>44742.0</v>
      </c>
      <c r="O651" t="n" s="7">
        <v>44865.0</v>
      </c>
      <c r="P651" t="s" s="1">
        <v>3259</v>
      </c>
    </row>
    <row r="652" spans="1:16">
      <c r="A652" t="n" s="4">
        <v>648</v>
      </c>
      <c r="B652" s="2">
        <f>HYPERLINK("https://my.zakupki.prom.ua/remote/dispatcher/state_purchase_view/35792685", "UA-2022-03-30-003134-b")</f>
        <v/>
      </c>
      <c r="C652" t="s" s="2">
        <v>2890</v>
      </c>
      <c r="D652" s="2">
        <f>HYPERLINK("https://my.zakupki.prom.ua/remote/dispatcher/state_contracting_view/13199685", "UA-2022-03-30-003134-b-b1")</f>
        <v/>
      </c>
      <c r="E652" t="s" s="1">
        <v>1829</v>
      </c>
      <c r="F652" t="s" s="1">
        <v>2741</v>
      </c>
      <c r="G652" t="s" s="1">
        <v>2741</v>
      </c>
      <c r="H652" t="s" s="1">
        <v>1420</v>
      </c>
      <c r="I652" t="s" s="1">
        <v>2017</v>
      </c>
      <c r="J652" t="s" s="1">
        <v>1969</v>
      </c>
      <c r="K652" t="s" s="1">
        <v>317</v>
      </c>
      <c r="L652" t="s" s="1">
        <v>1265</v>
      </c>
      <c r="M652" t="n" s="5">
        <v>483.78</v>
      </c>
      <c r="N652" t="n" s="7">
        <v>44650.0</v>
      </c>
      <c r="O652" t="n" s="7">
        <v>44822.0</v>
      </c>
      <c r="P652" t="s" s="1">
        <v>3259</v>
      </c>
    </row>
    <row r="653" spans="1:16">
      <c r="A653" t="n" s="4">
        <v>649</v>
      </c>
      <c r="B653" s="2">
        <f>HYPERLINK("https://my.zakupki.prom.ua/remote/dispatcher/state_purchase_view/37187603", "UA-2022-08-23-003860-a")</f>
        <v/>
      </c>
      <c r="C653" t="s" s="2">
        <v>2890</v>
      </c>
      <c r="D653" s="2">
        <f>HYPERLINK("https://my.zakupki.prom.ua/remote/dispatcher/state_contracting_view/13889516", "UA-2022-08-23-003860-a-b1")</f>
        <v/>
      </c>
      <c r="E653" t="s" s="1">
        <v>359</v>
      </c>
      <c r="F653" t="s" s="1">
        <v>2460</v>
      </c>
      <c r="G653" t="s" s="1">
        <v>1957</v>
      </c>
      <c r="H653" t="s" s="1">
        <v>650</v>
      </c>
      <c r="I653" t="s" s="1">
        <v>2017</v>
      </c>
      <c r="J653" t="s" s="1">
        <v>3124</v>
      </c>
      <c r="K653" t="s" s="1">
        <v>337</v>
      </c>
      <c r="L653" t="s" s="1">
        <v>443</v>
      </c>
      <c r="M653" t="n" s="5">
        <v>22544.0</v>
      </c>
      <c r="N653" t="n" s="7">
        <v>44795.0</v>
      </c>
      <c r="O653" t="n" s="7">
        <v>44804.0</v>
      </c>
      <c r="P653" t="s" s="1">
        <v>3259</v>
      </c>
    </row>
    <row r="654" spans="1:16">
      <c r="A654" t="n" s="4">
        <v>650</v>
      </c>
      <c r="B654" s="2">
        <f>HYPERLINK("https://my.zakupki.prom.ua/remote/dispatcher/state_purchase_view/36820027", "UA-2022-07-27-000836-a")</f>
        <v/>
      </c>
      <c r="C654" t="s" s="2">
        <v>2890</v>
      </c>
      <c r="D654" s="2">
        <f>HYPERLINK("https://my.zakupki.prom.ua/remote/dispatcher/state_contracting_view/13714457", "UA-2022-07-27-000836-a-b1")</f>
        <v/>
      </c>
      <c r="E654" t="s" s="1">
        <v>84</v>
      </c>
      <c r="F654" t="s" s="1">
        <v>2136</v>
      </c>
      <c r="G654" t="s" s="1">
        <v>2899</v>
      </c>
      <c r="H654" t="s" s="1">
        <v>638</v>
      </c>
      <c r="I654" t="s" s="1">
        <v>2017</v>
      </c>
      <c r="J654" t="s" s="1">
        <v>3124</v>
      </c>
      <c r="K654" t="s" s="1">
        <v>337</v>
      </c>
      <c r="L654" t="s" s="1">
        <v>424</v>
      </c>
      <c r="M654" t="n" s="5">
        <v>960.0</v>
      </c>
      <c r="N654" t="n" s="7">
        <v>44769.0</v>
      </c>
      <c r="O654" t="n" s="7">
        <v>44804.0</v>
      </c>
      <c r="P654" t="s" s="1">
        <v>3259</v>
      </c>
    </row>
    <row r="655" spans="1:16">
      <c r="A655" t="n" s="4">
        <v>651</v>
      </c>
      <c r="B655" s="2">
        <f>HYPERLINK("https://my.zakupki.prom.ua/remote/dispatcher/state_purchase_view/36644789", "UA-2022-07-12-003289-a")</f>
        <v/>
      </c>
      <c r="C655" t="s" s="2">
        <v>2890</v>
      </c>
      <c r="D655" s="2">
        <f>HYPERLINK("https://my.zakupki.prom.ua/remote/dispatcher/state_contracting_view/13632664", "UA-2022-07-12-003289-a-b1")</f>
        <v/>
      </c>
      <c r="E655" t="s" s="1">
        <v>1563</v>
      </c>
      <c r="F655" t="s" s="1">
        <v>2104</v>
      </c>
      <c r="G655" t="s" s="1">
        <v>2977</v>
      </c>
      <c r="H655" t="s" s="1">
        <v>650</v>
      </c>
      <c r="I655" t="s" s="1">
        <v>2017</v>
      </c>
      <c r="J655" t="s" s="1">
        <v>3124</v>
      </c>
      <c r="K655" t="s" s="1">
        <v>337</v>
      </c>
      <c r="L655" t="s" s="1">
        <v>404</v>
      </c>
      <c r="M655" t="n" s="5">
        <v>20466.0</v>
      </c>
      <c r="N655" t="n" s="7">
        <v>44753.0</v>
      </c>
      <c r="O655" t="n" s="7">
        <v>44804.0</v>
      </c>
      <c r="P655" t="s" s="1">
        <v>3259</v>
      </c>
    </row>
    <row r="656" spans="1:16">
      <c r="A656" t="n" s="4">
        <v>652</v>
      </c>
      <c r="B656" s="2">
        <f>HYPERLINK("https://my.zakupki.prom.ua/remote/dispatcher/state_purchase_view/36730808", "UA-2022-07-19-006270-a")</f>
        <v/>
      </c>
      <c r="C656" t="s" s="2">
        <v>2890</v>
      </c>
      <c r="D656" s="2">
        <f>HYPERLINK("https://my.zakupki.prom.ua/remote/dispatcher/state_contracting_view/13672400", "UA-2022-07-19-006270-a-b1")</f>
        <v/>
      </c>
      <c r="E656" t="s" s="1">
        <v>1284</v>
      </c>
      <c r="F656" t="s" s="1">
        <v>2472</v>
      </c>
      <c r="G656" t="s" s="1">
        <v>2976</v>
      </c>
      <c r="H656" t="s" s="1">
        <v>650</v>
      </c>
      <c r="I656" t="s" s="1">
        <v>2017</v>
      </c>
      <c r="J656" t="s" s="1">
        <v>3124</v>
      </c>
      <c r="K656" t="s" s="1">
        <v>337</v>
      </c>
      <c r="L656" t="s" s="1">
        <v>415</v>
      </c>
      <c r="M656" t="n" s="5">
        <v>9408.0</v>
      </c>
      <c r="N656" t="n" s="7">
        <v>44760.0</v>
      </c>
      <c r="O656" t="n" s="7">
        <v>44804.0</v>
      </c>
      <c r="P656" t="s" s="1">
        <v>3259</v>
      </c>
    </row>
    <row r="657" spans="1:16">
      <c r="A657" t="n" s="4">
        <v>653</v>
      </c>
      <c r="B657" s="2">
        <f>HYPERLINK("https://my.zakupki.prom.ua/remote/dispatcher/state_purchase_view/36279274", "UA-2022-06-03-002401-a")</f>
        <v/>
      </c>
      <c r="C657" t="s" s="2">
        <v>2890</v>
      </c>
      <c r="D657" s="2">
        <f>HYPERLINK("https://my.zakupki.prom.ua/remote/dispatcher/state_contracting_view/13450260", "UA-2022-06-03-002401-a-b1")</f>
        <v/>
      </c>
      <c r="E657" t="s" s="1">
        <v>535</v>
      </c>
      <c r="F657" t="s" s="1">
        <v>2684</v>
      </c>
      <c r="G657" t="s" s="1">
        <v>2684</v>
      </c>
      <c r="H657" t="s" s="1">
        <v>1030</v>
      </c>
      <c r="I657" t="s" s="1">
        <v>2017</v>
      </c>
      <c r="J657" t="s" s="1">
        <v>3109</v>
      </c>
      <c r="K657" t="s" s="1">
        <v>823</v>
      </c>
      <c r="L657" t="s" s="1">
        <v>47</v>
      </c>
      <c r="M657" t="n" s="5">
        <v>17454.0</v>
      </c>
      <c r="N657" t="n" s="7">
        <v>44715.0</v>
      </c>
      <c r="O657" t="n" s="7">
        <v>44797.0</v>
      </c>
      <c r="P657" t="s" s="1">
        <v>3259</v>
      </c>
    </row>
    <row r="658" spans="1:16">
      <c r="A658" t="n" s="4">
        <v>654</v>
      </c>
      <c r="B658" s="2">
        <f>HYPERLINK("https://my.zakupki.prom.ua/remote/dispatcher/state_purchase_view/36241327", "UA-2022-05-30-004601-a")</f>
        <v/>
      </c>
      <c r="C658" t="s" s="2">
        <v>2890</v>
      </c>
      <c r="D658" s="2">
        <f>HYPERLINK("https://my.zakupki.prom.ua/remote/dispatcher/state_contracting_view/13430977", "UA-2022-05-30-004601-a-b1")</f>
        <v/>
      </c>
      <c r="E658" t="s" s="1">
        <v>1212</v>
      </c>
      <c r="F658" t="s" s="1">
        <v>2365</v>
      </c>
      <c r="G658" t="s" s="1">
        <v>3031</v>
      </c>
      <c r="H658" t="s" s="1">
        <v>640</v>
      </c>
      <c r="I658" t="s" s="1">
        <v>2017</v>
      </c>
      <c r="J658" t="s" s="1">
        <v>3227</v>
      </c>
      <c r="K658" t="s" s="1">
        <v>463</v>
      </c>
      <c r="L658" t="s" s="1">
        <v>547</v>
      </c>
      <c r="M658" t="n" s="5">
        <v>272550.0</v>
      </c>
      <c r="N658" t="n" s="7">
        <v>44711.0</v>
      </c>
      <c r="O658" t="n" s="7">
        <v>44797.0</v>
      </c>
      <c r="P658" t="s" s="1">
        <v>3259</v>
      </c>
    </row>
    <row r="659" spans="1:16">
      <c r="A659" t="n" s="4">
        <v>655</v>
      </c>
      <c r="B659" s="2">
        <f>HYPERLINK("https://my.zakupki.prom.ua/remote/dispatcher/state_purchase_view/36520212", "UA-2022-06-29-005605-a")</f>
        <v/>
      </c>
      <c r="C659" t="s" s="2">
        <v>2890</v>
      </c>
      <c r="D659" s="2">
        <f>HYPERLINK("https://my.zakupki.prom.ua/remote/dispatcher/state_contracting_view/13572258", "UA-2022-06-29-005605-a-b1")</f>
        <v/>
      </c>
      <c r="E659" t="s" s="1">
        <v>1568</v>
      </c>
      <c r="F659" t="s" s="1">
        <v>2130</v>
      </c>
      <c r="G659" t="s" s="1">
        <v>2130</v>
      </c>
      <c r="H659" t="s" s="1">
        <v>635</v>
      </c>
      <c r="I659" t="s" s="1">
        <v>2017</v>
      </c>
      <c r="J659" t="s" s="1">
        <v>3126</v>
      </c>
      <c r="K659" t="s" s="1">
        <v>758</v>
      </c>
      <c r="L659" t="s" s="1">
        <v>704</v>
      </c>
      <c r="M659" t="n" s="5">
        <v>7995000.0</v>
      </c>
      <c r="N659" t="n" s="7">
        <v>44741.0</v>
      </c>
      <c r="O659" t="n" s="7">
        <v>44796.0</v>
      </c>
      <c r="P659" t="s" s="1">
        <v>3259</v>
      </c>
    </row>
    <row r="660" spans="1:16">
      <c r="A660" t="n" s="4">
        <v>656</v>
      </c>
      <c r="B660" s="2">
        <f>HYPERLINK("https://my.zakupki.prom.ua/remote/dispatcher/state_purchase_view/36842202", "UA-2022-07-28-003398-a")</f>
        <v/>
      </c>
      <c r="C660" t="s" s="2">
        <v>2890</v>
      </c>
      <c r="D660" s="2">
        <f>HYPERLINK("https://my.zakupki.prom.ua/remote/dispatcher/state_contracting_view/13724596", "UA-2022-07-28-003398-a-b1")</f>
        <v/>
      </c>
      <c r="E660" t="s" s="1">
        <v>432</v>
      </c>
      <c r="F660" t="s" s="1">
        <v>2517</v>
      </c>
      <c r="G660" t="s" s="1">
        <v>3032</v>
      </c>
      <c r="H660" t="s" s="1">
        <v>767</v>
      </c>
      <c r="I660" t="s" s="1">
        <v>2017</v>
      </c>
      <c r="J660" t="s" s="1">
        <v>2839</v>
      </c>
      <c r="K660" t="s" s="1">
        <v>318</v>
      </c>
      <c r="L660" t="s" s="1">
        <v>925</v>
      </c>
      <c r="M660" t="n" s="5">
        <v>13353.6</v>
      </c>
      <c r="N660" t="n" s="7">
        <v>44770.0</v>
      </c>
      <c r="O660" t="n" s="7">
        <v>44796.0</v>
      </c>
      <c r="P660" t="s" s="1">
        <v>3259</v>
      </c>
    </row>
    <row r="661" spans="1:16">
      <c r="A661" t="n" s="4">
        <v>657</v>
      </c>
      <c r="B661" s="2">
        <f>HYPERLINK("https://my.zakupki.prom.ua/remote/dispatcher/state_purchase_view/36728463", "UA-2022-07-19-005038-a")</f>
        <v/>
      </c>
      <c r="C661" t="s" s="2">
        <v>2890</v>
      </c>
      <c r="D661" s="2">
        <f>HYPERLINK("https://my.zakupki.prom.ua/remote/dispatcher/state_contracting_view/13782772", "UA-2022-07-19-005038-a-b1")</f>
        <v/>
      </c>
      <c r="E661" t="s" s="1">
        <v>1510</v>
      </c>
      <c r="F661" t="s" s="1">
        <v>2098</v>
      </c>
      <c r="G661" t="s" s="1">
        <v>1925</v>
      </c>
      <c r="H661" t="s" s="1">
        <v>642</v>
      </c>
      <c r="I661" t="s" s="1">
        <v>3022</v>
      </c>
      <c r="J661" t="s" s="1">
        <v>3195</v>
      </c>
      <c r="K661" t="s" s="1">
        <v>586</v>
      </c>
      <c r="L661" t="s" s="1">
        <v>965</v>
      </c>
      <c r="M661" t="n" s="5">
        <v>496650.0</v>
      </c>
      <c r="N661" t="n" s="7">
        <v>44781.0</v>
      </c>
      <c r="O661" t="n" s="7">
        <v>44796.0</v>
      </c>
      <c r="P661" t="s" s="1">
        <v>3259</v>
      </c>
    </row>
    <row r="662" spans="1:16">
      <c r="A662" t="n" s="4">
        <v>658</v>
      </c>
      <c r="B662" s="2">
        <f>HYPERLINK("https://my.zakupki.prom.ua/remote/dispatcher/state_purchase_view/36789620", "UA-2022-07-25-002689-a")</f>
        <v/>
      </c>
      <c r="C662" t="s" s="2">
        <v>2890</v>
      </c>
      <c r="D662" s="2">
        <f>HYPERLINK("https://my.zakupki.prom.ua/remote/dispatcher/state_contracting_view/13783369", "UA-2022-07-25-002689-a-b1")</f>
        <v/>
      </c>
      <c r="E662" t="s" s="1">
        <v>1709</v>
      </c>
      <c r="F662" t="s" s="1">
        <v>2074</v>
      </c>
      <c r="G662" t="s" s="1">
        <v>2073</v>
      </c>
      <c r="H662" t="s" s="1">
        <v>943</v>
      </c>
      <c r="I662" t="s" s="1">
        <v>3022</v>
      </c>
      <c r="J662" t="s" s="1">
        <v>1994</v>
      </c>
      <c r="K662" t="s" s="1">
        <v>856</v>
      </c>
      <c r="L662" t="s" s="1">
        <v>967</v>
      </c>
      <c r="M662" t="n" s="5">
        <v>985617.0</v>
      </c>
      <c r="N662" t="n" s="7">
        <v>44781.0</v>
      </c>
      <c r="O662" t="n" s="7">
        <v>44796.0</v>
      </c>
      <c r="P662" t="s" s="1">
        <v>3259</v>
      </c>
    </row>
    <row r="663" spans="1:16">
      <c r="A663" t="n" s="4">
        <v>659</v>
      </c>
      <c r="B663" s="2">
        <f>HYPERLINK("https://my.zakupki.prom.ua/remote/dispatcher/state_purchase_view/36385493", "UA-2022-06-15-004174-a")</f>
        <v/>
      </c>
      <c r="C663" t="s" s="2">
        <v>2890</v>
      </c>
      <c r="D663" s="2">
        <f>HYPERLINK("https://my.zakupki.prom.ua/remote/dispatcher/state_contracting_view/13504775", "UA-2022-06-15-004174-a-b1")</f>
        <v/>
      </c>
      <c r="E663" t="s" s="1">
        <v>163</v>
      </c>
      <c r="F663" t="s" s="1">
        <v>2802</v>
      </c>
      <c r="G663" t="s" s="1">
        <v>3005</v>
      </c>
      <c r="H663" t="s" s="1">
        <v>413</v>
      </c>
      <c r="I663" t="s" s="1">
        <v>2017</v>
      </c>
      <c r="J663" t="s" s="1">
        <v>2016</v>
      </c>
      <c r="K663" t="s" s="1">
        <v>474</v>
      </c>
      <c r="L663" t="s" s="1">
        <v>634</v>
      </c>
      <c r="M663" t="n" s="5">
        <v>21234.0</v>
      </c>
      <c r="N663" t="n" s="7">
        <v>44727.0</v>
      </c>
      <c r="O663" t="n" s="7">
        <v>44796.0</v>
      </c>
      <c r="P663" t="s" s="1">
        <v>3259</v>
      </c>
    </row>
    <row r="664" spans="1:16">
      <c r="A664" t="n" s="4">
        <v>660</v>
      </c>
      <c r="B664" s="2">
        <f>HYPERLINK("https://my.zakupki.prom.ua/remote/dispatcher/state_purchase_view/36361789", "UA-2022-06-13-004748-a")</f>
        <v/>
      </c>
      <c r="C664" t="s" s="2">
        <v>2890</v>
      </c>
      <c r="D664" s="2">
        <f>HYPERLINK("https://my.zakupki.prom.ua/remote/dispatcher/state_contracting_view/13492523", "UA-2022-06-13-004748-a-b1")</f>
        <v/>
      </c>
      <c r="E664" t="s" s="1">
        <v>1613</v>
      </c>
      <c r="F664" t="s" s="1">
        <v>2643</v>
      </c>
      <c r="G664" t="s" s="1">
        <v>2643</v>
      </c>
      <c r="H664" t="s" s="1">
        <v>943</v>
      </c>
      <c r="I664" t="s" s="1">
        <v>2017</v>
      </c>
      <c r="J664" t="s" s="1">
        <v>3092</v>
      </c>
      <c r="K664" t="s" s="1">
        <v>876</v>
      </c>
      <c r="L664" t="s" s="1">
        <v>619</v>
      </c>
      <c r="M664" t="n" s="5">
        <v>145000.0</v>
      </c>
      <c r="N664" t="n" s="7">
        <v>44725.0</v>
      </c>
      <c r="O664" t="n" s="7">
        <v>44796.0</v>
      </c>
      <c r="P664" t="s" s="1">
        <v>3259</v>
      </c>
    </row>
    <row r="665" spans="1:16">
      <c r="A665" t="n" s="4">
        <v>661</v>
      </c>
      <c r="B665" s="2">
        <f>HYPERLINK("https://my.zakupki.prom.ua/remote/dispatcher/state_purchase_view/36387679", "UA-2022-06-15-005313-a")</f>
        <v/>
      </c>
      <c r="C665" t="s" s="2">
        <v>2890</v>
      </c>
      <c r="D665" s="2">
        <f>HYPERLINK("https://my.zakupki.prom.ua/remote/dispatcher/state_contracting_view/13505836", "UA-2022-06-15-005313-a-b1")</f>
        <v/>
      </c>
      <c r="E665" t="s" s="1">
        <v>1770</v>
      </c>
      <c r="F665" t="s" s="1">
        <v>2387</v>
      </c>
      <c r="G665" t="s" s="1">
        <v>3228</v>
      </c>
      <c r="H665" t="s" s="1">
        <v>642</v>
      </c>
      <c r="I665" t="s" s="1">
        <v>2017</v>
      </c>
      <c r="J665" t="s" s="1">
        <v>3125</v>
      </c>
      <c r="K665" t="s" s="1">
        <v>690</v>
      </c>
      <c r="L665" t="s" s="1">
        <v>646</v>
      </c>
      <c r="M665" t="n" s="5">
        <v>93047.2</v>
      </c>
      <c r="N665" t="n" s="7">
        <v>44727.0</v>
      </c>
      <c r="O665" t="n" s="7">
        <v>44796.0</v>
      </c>
      <c r="P665" t="s" s="1">
        <v>3259</v>
      </c>
    </row>
    <row r="666" spans="1:16">
      <c r="A666" t="n" s="4">
        <v>662</v>
      </c>
      <c r="B666" s="2">
        <f>HYPERLINK("https://my.zakupki.prom.ua/remote/dispatcher/state_purchase_view/36387939", "UA-2022-06-15-005477-a")</f>
        <v/>
      </c>
      <c r="C666" t="s" s="2">
        <v>2890</v>
      </c>
      <c r="D666" s="2">
        <f>HYPERLINK("https://my.zakupki.prom.ua/remote/dispatcher/state_contracting_view/13506084", "UA-2022-06-15-005477-a-b1")</f>
        <v/>
      </c>
      <c r="E666" t="s" s="1">
        <v>809</v>
      </c>
      <c r="F666" t="s" s="1">
        <v>2383</v>
      </c>
      <c r="G666" t="s" s="1">
        <v>2827</v>
      </c>
      <c r="H666" t="s" s="1">
        <v>642</v>
      </c>
      <c r="I666" t="s" s="1">
        <v>2017</v>
      </c>
      <c r="J666" t="s" s="1">
        <v>2903</v>
      </c>
      <c r="K666" t="s" s="1">
        <v>391</v>
      </c>
      <c r="L666" t="s" s="1">
        <v>648</v>
      </c>
      <c r="M666" t="n" s="5">
        <v>254800.0</v>
      </c>
      <c r="N666" t="n" s="7">
        <v>44727.0</v>
      </c>
      <c r="O666" t="n" s="7">
        <v>44796.0</v>
      </c>
      <c r="P666" t="s" s="1">
        <v>3259</v>
      </c>
    </row>
    <row r="667" spans="1:16">
      <c r="A667" t="n" s="4">
        <v>663</v>
      </c>
      <c r="B667" s="2">
        <f>HYPERLINK("https://my.zakupki.prom.ua/remote/dispatcher/state_purchase_view/36740160", "UA-2022-07-20-002386-a")</f>
        <v/>
      </c>
      <c r="C667" t="s" s="2">
        <v>2890</v>
      </c>
      <c r="D667" s="2">
        <f>HYPERLINK("https://my.zakupki.prom.ua/remote/dispatcher/state_contracting_view/13676989", "UA-2022-07-20-002386-a-b1")</f>
        <v/>
      </c>
      <c r="E667" t="s" s="1">
        <v>1856</v>
      </c>
      <c r="F667" t="s" s="1">
        <v>2683</v>
      </c>
      <c r="G667" t="s" s="1">
        <v>2683</v>
      </c>
      <c r="H667" t="s" s="1">
        <v>1030</v>
      </c>
      <c r="I667" t="s" s="1">
        <v>2017</v>
      </c>
      <c r="J667" t="s" s="1">
        <v>3122</v>
      </c>
      <c r="K667" t="s" s="1">
        <v>781</v>
      </c>
      <c r="L667" t="s" s="1">
        <v>53</v>
      </c>
      <c r="M667" t="n" s="5">
        <v>21462.0</v>
      </c>
      <c r="N667" t="n" s="7">
        <v>44762.0</v>
      </c>
      <c r="O667" t="n" s="7">
        <v>44796.0</v>
      </c>
      <c r="P667" t="s" s="1">
        <v>3259</v>
      </c>
    </row>
    <row r="668" spans="1:16">
      <c r="A668" t="n" s="4">
        <v>664</v>
      </c>
      <c r="B668" s="2">
        <f>HYPERLINK("https://my.zakupki.prom.ua/remote/dispatcher/state_purchase_view/36842050", "UA-2022-07-28-003329-a")</f>
        <v/>
      </c>
      <c r="C668" t="s" s="2">
        <v>2890</v>
      </c>
      <c r="D668" s="2">
        <f>HYPERLINK("https://my.zakupki.prom.ua/remote/dispatcher/state_contracting_view/13724487", "UA-2022-07-28-003329-a-b1")</f>
        <v/>
      </c>
      <c r="E668" t="s" s="1">
        <v>1400</v>
      </c>
      <c r="F668" t="s" s="1">
        <v>2381</v>
      </c>
      <c r="G668" t="s" s="1">
        <v>1939</v>
      </c>
      <c r="H668" t="s" s="1">
        <v>642</v>
      </c>
      <c r="I668" t="s" s="1">
        <v>2017</v>
      </c>
      <c r="J668" t="s" s="1">
        <v>2839</v>
      </c>
      <c r="K668" t="s" s="1">
        <v>318</v>
      </c>
      <c r="L668" t="s" s="1">
        <v>918</v>
      </c>
      <c r="M668" t="n" s="5">
        <v>47401.0</v>
      </c>
      <c r="N668" t="n" s="7">
        <v>44770.0</v>
      </c>
      <c r="O668" t="n" s="7">
        <v>44796.0</v>
      </c>
      <c r="P668" t="s" s="1">
        <v>3259</v>
      </c>
    </row>
    <row r="669" spans="1:16">
      <c r="A669" t="n" s="4">
        <v>665</v>
      </c>
      <c r="B669" s="2">
        <f>HYPERLINK("https://my.zakupki.prom.ua/remote/dispatcher/state_purchase_view/36429281", "UA-2022-06-20-006661-a")</f>
        <v/>
      </c>
      <c r="C669" t="s" s="2">
        <v>2890</v>
      </c>
      <c r="D669" s="2">
        <f>HYPERLINK("https://my.zakupki.prom.ua/remote/dispatcher/state_contracting_view/13526994", "UA-2022-06-20-006661-a-b1")</f>
        <v/>
      </c>
      <c r="E669" t="s" s="1">
        <v>1370</v>
      </c>
      <c r="F669" t="s" s="1">
        <v>2333</v>
      </c>
      <c r="G669" t="s" s="1">
        <v>3021</v>
      </c>
      <c r="H669" t="s" s="1">
        <v>638</v>
      </c>
      <c r="I669" t="s" s="1">
        <v>2017</v>
      </c>
      <c r="J669" t="s" s="1">
        <v>2923</v>
      </c>
      <c r="K669" t="s" s="1">
        <v>545</v>
      </c>
      <c r="L669" t="s" s="1">
        <v>1172</v>
      </c>
      <c r="M669" t="n" s="5">
        <v>119.4</v>
      </c>
      <c r="N669" t="n" s="7">
        <v>44732.0</v>
      </c>
      <c r="O669" t="n" s="7">
        <v>44796.0</v>
      </c>
      <c r="P669" t="s" s="1">
        <v>3259</v>
      </c>
    </row>
    <row r="670" spans="1:16">
      <c r="A670" t="n" s="4">
        <v>666</v>
      </c>
      <c r="B670" s="2">
        <f>HYPERLINK("https://my.zakupki.prom.ua/remote/dispatcher/state_purchase_view/36613118", "UA-2022-07-08-003988-a")</f>
        <v/>
      </c>
      <c r="C670" t="s" s="2">
        <v>2890</v>
      </c>
      <c r="D670" s="2">
        <f>HYPERLINK("https://my.zakupki.prom.ua/remote/dispatcher/state_contracting_view/13617902", "UA-2022-07-08-003988-a-b1")</f>
        <v/>
      </c>
      <c r="E670" t="s" s="1">
        <v>1572</v>
      </c>
      <c r="F670" t="s" s="1">
        <v>2167</v>
      </c>
      <c r="G670" t="s" s="1">
        <v>2167</v>
      </c>
      <c r="H670" t="s" s="1">
        <v>68</v>
      </c>
      <c r="I670" t="s" s="1">
        <v>2017</v>
      </c>
      <c r="J670" t="s" s="1">
        <v>3128</v>
      </c>
      <c r="K670" t="s" s="1">
        <v>777</v>
      </c>
      <c r="L670" t="s" s="1">
        <v>992</v>
      </c>
      <c r="M670" t="n" s="5">
        <v>49980.0</v>
      </c>
      <c r="N670" t="n" s="7">
        <v>44749.0</v>
      </c>
      <c r="O670" t="n" s="7">
        <v>44796.0</v>
      </c>
      <c r="P670" t="s" s="1">
        <v>3259</v>
      </c>
    </row>
    <row r="671" spans="1:16">
      <c r="A671" t="n" s="4">
        <v>667</v>
      </c>
      <c r="B671" s="2">
        <f>HYPERLINK("https://my.zakupki.prom.ua/remote/dispatcher/state_purchase_view/36290108", "UA-2022-06-06-001466-a")</f>
        <v/>
      </c>
      <c r="C671" t="s" s="2">
        <v>2890</v>
      </c>
      <c r="D671" s="2">
        <f>HYPERLINK("https://my.zakupki.prom.ua/remote/dispatcher/state_contracting_view/13456249", "UA-2022-06-06-001466-a-b1")</f>
        <v/>
      </c>
      <c r="E671" t="s" s="1">
        <v>1573</v>
      </c>
      <c r="F671" t="s" s="1">
        <v>2645</v>
      </c>
      <c r="G671" t="s" s="1">
        <v>2645</v>
      </c>
      <c r="H671" t="s" s="1">
        <v>943</v>
      </c>
      <c r="I671" t="s" s="1">
        <v>2017</v>
      </c>
      <c r="J671" t="s" s="1">
        <v>2913</v>
      </c>
      <c r="K671" t="s" s="1">
        <v>606</v>
      </c>
      <c r="L671" t="s" s="1">
        <v>557</v>
      </c>
      <c r="M671" t="n" s="5">
        <v>492318.0</v>
      </c>
      <c r="N671" t="n" s="7">
        <v>44718.0</v>
      </c>
      <c r="O671" t="n" s="7">
        <v>44796.0</v>
      </c>
      <c r="P671" t="s" s="1">
        <v>3259</v>
      </c>
    </row>
    <row r="672" spans="1:16">
      <c r="A672" t="n" s="4">
        <v>668</v>
      </c>
      <c r="B672" s="2">
        <f>HYPERLINK("https://my.zakupki.prom.ua/remote/dispatcher/state_purchase_view/36326410", "UA-2022-06-08-006761-a")</f>
        <v/>
      </c>
      <c r="C672" t="s" s="2">
        <v>2890</v>
      </c>
      <c r="D672" s="2">
        <f>HYPERLINK("https://my.zakupki.prom.ua/remote/dispatcher/state_contracting_view/13474548", "UA-2022-06-08-006761-a-b1")</f>
        <v/>
      </c>
      <c r="E672" t="s" s="1">
        <v>1702</v>
      </c>
      <c r="F672" t="s" s="1">
        <v>2201</v>
      </c>
      <c r="G672" t="s" s="1">
        <v>2201</v>
      </c>
      <c r="H672" t="s" s="1">
        <v>187</v>
      </c>
      <c r="I672" t="s" s="1">
        <v>2017</v>
      </c>
      <c r="J672" t="s" s="1">
        <v>2008</v>
      </c>
      <c r="K672" t="s" s="1">
        <v>671</v>
      </c>
      <c r="L672" t="s" s="1">
        <v>577</v>
      </c>
      <c r="M672" t="n" s="5">
        <v>192160.0</v>
      </c>
      <c r="N672" t="n" s="7">
        <v>44720.0</v>
      </c>
      <c r="O672" t="n" s="7">
        <v>44796.0</v>
      </c>
      <c r="P672" t="s" s="1">
        <v>3259</v>
      </c>
    </row>
    <row r="673" spans="1:16">
      <c r="A673" t="n" s="4">
        <v>669</v>
      </c>
      <c r="B673" s="2">
        <f>HYPERLINK("https://my.zakupki.prom.ua/remote/dispatcher/state_purchase_view/36347911", "UA-2022-06-10-003950-a")</f>
        <v/>
      </c>
      <c r="C673" t="s" s="2">
        <v>2890</v>
      </c>
      <c r="D673" s="2">
        <f>HYPERLINK("https://my.zakupki.prom.ua/remote/dispatcher/state_contracting_view/13485333", "UA-2022-06-10-003950-a-b1")</f>
        <v/>
      </c>
      <c r="E673" t="s" s="1">
        <v>1564</v>
      </c>
      <c r="F673" t="s" s="1">
        <v>2535</v>
      </c>
      <c r="G673" t="s" s="1">
        <v>3183</v>
      </c>
      <c r="H673" t="s" s="1">
        <v>780</v>
      </c>
      <c r="I673" t="s" s="1">
        <v>2017</v>
      </c>
      <c r="J673" t="s" s="1">
        <v>2016</v>
      </c>
      <c r="K673" t="s" s="1">
        <v>474</v>
      </c>
      <c r="L673" t="s" s="1">
        <v>607</v>
      </c>
      <c r="M673" t="n" s="5">
        <v>19790.0</v>
      </c>
      <c r="N673" t="n" s="7">
        <v>44722.0</v>
      </c>
      <c r="O673" t="n" s="7">
        <v>44796.0</v>
      </c>
      <c r="P673" t="s" s="1">
        <v>3259</v>
      </c>
    </row>
    <row r="674" spans="1:16">
      <c r="A674" t="n" s="4">
        <v>670</v>
      </c>
      <c r="B674" s="2">
        <f>HYPERLINK("https://my.zakupki.prom.ua/remote/dispatcher/state_purchase_view/36624129", "UA-2022-07-11-001072-a")</f>
        <v/>
      </c>
      <c r="C674" t="s" s="2">
        <v>2890</v>
      </c>
      <c r="D674" s="2">
        <f>HYPERLINK("https://my.zakupki.prom.ua/remote/dispatcher/state_contracting_view/13624051", "UA-2022-07-11-001072-a-b1")</f>
        <v/>
      </c>
      <c r="E674" t="s" s="1">
        <v>1282</v>
      </c>
      <c r="F674" t="s" s="1">
        <v>2415</v>
      </c>
      <c r="G674" t="s" s="1">
        <v>2888</v>
      </c>
      <c r="H674" t="s" s="1">
        <v>650</v>
      </c>
      <c r="I674" t="s" s="1">
        <v>2017</v>
      </c>
      <c r="J674" t="s" s="1">
        <v>2923</v>
      </c>
      <c r="K674" t="s" s="1">
        <v>545</v>
      </c>
      <c r="L674" t="s" s="1">
        <v>1189</v>
      </c>
      <c r="M674" t="n" s="5">
        <v>319842.0</v>
      </c>
      <c r="N674" t="n" s="7">
        <v>44750.0</v>
      </c>
      <c r="O674" t="n" s="7">
        <v>44796.0</v>
      </c>
      <c r="P674" t="s" s="1">
        <v>3259</v>
      </c>
    </row>
    <row r="675" spans="1:16">
      <c r="A675" t="n" s="4">
        <v>671</v>
      </c>
      <c r="B675" s="2">
        <f>HYPERLINK("https://my.zakupki.prom.ua/remote/dispatcher/state_purchase_view/36926459", "UA-2022-08-04-004043-a")</f>
        <v/>
      </c>
      <c r="C675" t="s" s="2">
        <v>2890</v>
      </c>
      <c r="D675" s="2">
        <f>HYPERLINK("https://my.zakupki.prom.ua/remote/dispatcher/state_contracting_view/13764663", "UA-2022-08-04-004043-a-b1")</f>
        <v/>
      </c>
      <c r="E675" t="s" s="1">
        <v>1596</v>
      </c>
      <c r="F675" t="s" s="1">
        <v>2392</v>
      </c>
      <c r="G675" t="s" s="1">
        <v>2051</v>
      </c>
      <c r="H675" t="s" s="1">
        <v>650</v>
      </c>
      <c r="I675" t="s" s="1">
        <v>2017</v>
      </c>
      <c r="J675" t="s" s="1">
        <v>3113</v>
      </c>
      <c r="K675" t="s" s="1">
        <v>398</v>
      </c>
      <c r="L675" t="s" s="1">
        <v>958</v>
      </c>
      <c r="M675" t="n" s="5">
        <v>468.8</v>
      </c>
      <c r="N675" t="n" s="7">
        <v>44776.0</v>
      </c>
      <c r="O675" t="n" s="7">
        <v>44796.0</v>
      </c>
      <c r="P675" t="s" s="1">
        <v>3259</v>
      </c>
    </row>
    <row r="676" spans="1:16">
      <c r="A676" t="n" s="4">
        <v>672</v>
      </c>
      <c r="B676" s="2">
        <f>HYPERLINK("https://my.zakupki.prom.ua/remote/dispatcher/state_purchase_view/36772015", "UA-2022-07-22-001962-a")</f>
        <v/>
      </c>
      <c r="C676" t="s" s="2">
        <v>2890</v>
      </c>
      <c r="D676" s="2">
        <f>HYPERLINK("https://my.zakupki.prom.ua/remote/dispatcher/state_contracting_view/13691583", "UA-2022-07-22-001962-a-b1")</f>
        <v/>
      </c>
      <c r="E676" t="s" s="1">
        <v>1456</v>
      </c>
      <c r="F676" t="s" s="1">
        <v>2497</v>
      </c>
      <c r="G676" t="s" s="1">
        <v>2497</v>
      </c>
      <c r="H676" t="s" s="1">
        <v>654</v>
      </c>
      <c r="I676" t="s" s="1">
        <v>2017</v>
      </c>
      <c r="J676" t="s" s="1">
        <v>2016</v>
      </c>
      <c r="K676" t="s" s="1">
        <v>474</v>
      </c>
      <c r="L676" t="s" s="1">
        <v>889</v>
      </c>
      <c r="M676" t="n" s="5">
        <v>3400.0</v>
      </c>
      <c r="N676" t="n" s="7">
        <v>44764.0</v>
      </c>
      <c r="O676" t="n" s="7">
        <v>44796.0</v>
      </c>
      <c r="P676" t="s" s="1">
        <v>3259</v>
      </c>
    </row>
    <row r="677" spans="1:16">
      <c r="A677" t="n" s="4">
        <v>673</v>
      </c>
      <c r="B677" s="2">
        <f>HYPERLINK("https://my.zakupki.prom.ua/remote/dispatcher/state_purchase_view/36428975", "UA-2022-06-20-006488-a")</f>
        <v/>
      </c>
      <c r="C677" t="s" s="2">
        <v>2890</v>
      </c>
      <c r="D677" s="2">
        <f>HYPERLINK("https://my.zakupki.prom.ua/remote/dispatcher/state_contracting_view/13526721", "UA-2022-06-20-006488-a-b1")</f>
        <v/>
      </c>
      <c r="E677" t="s" s="1">
        <v>1503</v>
      </c>
      <c r="F677" t="s" s="1">
        <v>2399</v>
      </c>
      <c r="G677" t="s" s="1">
        <v>3219</v>
      </c>
      <c r="H677" t="s" s="1">
        <v>650</v>
      </c>
      <c r="I677" t="s" s="1">
        <v>2017</v>
      </c>
      <c r="J677" t="s" s="1">
        <v>2923</v>
      </c>
      <c r="K677" t="s" s="1">
        <v>545</v>
      </c>
      <c r="L677" t="s" s="1">
        <v>1171</v>
      </c>
      <c r="M677" t="n" s="5">
        <v>12706.75</v>
      </c>
      <c r="N677" t="n" s="7">
        <v>44732.0</v>
      </c>
      <c r="O677" t="n" s="7">
        <v>44796.0</v>
      </c>
      <c r="P677" t="s" s="1">
        <v>3259</v>
      </c>
    </row>
    <row r="678" spans="1:16">
      <c r="A678" t="n" s="4">
        <v>674</v>
      </c>
      <c r="B678" s="2">
        <f>HYPERLINK("https://my.zakupki.prom.ua/remote/dispatcher/state_purchase_view/36371151", "UA-2022-06-14-003365-a")</f>
        <v/>
      </c>
      <c r="C678" t="s" s="2">
        <v>2890</v>
      </c>
      <c r="D678" s="2">
        <f>HYPERLINK("https://my.zakupki.prom.ua/remote/dispatcher/state_contracting_view/13497150", "UA-2022-06-14-003365-a-b1")</f>
        <v/>
      </c>
      <c r="E678" t="s" s="1">
        <v>1639</v>
      </c>
      <c r="F678" t="s" s="1">
        <v>2805</v>
      </c>
      <c r="G678" t="s" s="1">
        <v>2067</v>
      </c>
      <c r="H678" t="s" s="1">
        <v>650</v>
      </c>
      <c r="I678" t="s" s="1">
        <v>2017</v>
      </c>
      <c r="J678" t="s" s="1">
        <v>3124</v>
      </c>
      <c r="K678" t="s" s="1">
        <v>337</v>
      </c>
      <c r="L678" t="s" s="1">
        <v>365</v>
      </c>
      <c r="M678" t="n" s="5">
        <v>44824.44</v>
      </c>
      <c r="N678" t="n" s="7">
        <v>44725.0</v>
      </c>
      <c r="O678" t="n" s="7">
        <v>44796.0</v>
      </c>
      <c r="P678" t="s" s="1">
        <v>3259</v>
      </c>
    </row>
    <row r="679" spans="1:16">
      <c r="A679" t="n" s="4">
        <v>675</v>
      </c>
      <c r="B679" s="2">
        <f>HYPERLINK("https://my.zakupki.prom.ua/remote/dispatcher/state_purchase_view/36506826", "UA-2022-06-28-004603-a")</f>
        <v/>
      </c>
      <c r="C679" t="s" s="2">
        <v>2890</v>
      </c>
      <c r="D679" s="2">
        <f>HYPERLINK("https://my.zakupki.prom.ua/remote/dispatcher/state_contracting_view/13566201", "UA-2022-06-28-004603-a-b1")</f>
        <v/>
      </c>
      <c r="E679" t="s" s="1">
        <v>1018</v>
      </c>
      <c r="F679" t="s" s="1">
        <v>2647</v>
      </c>
      <c r="G679" t="s" s="1">
        <v>2647</v>
      </c>
      <c r="H679" t="s" s="1">
        <v>943</v>
      </c>
      <c r="I679" t="s" s="1">
        <v>2017</v>
      </c>
      <c r="J679" t="s" s="1">
        <v>2913</v>
      </c>
      <c r="K679" t="s" s="1">
        <v>606</v>
      </c>
      <c r="L679" t="s" s="1">
        <v>697</v>
      </c>
      <c r="M679" t="n" s="5">
        <v>375885.0</v>
      </c>
      <c r="N679" t="n" s="7">
        <v>44740.0</v>
      </c>
      <c r="O679" t="n" s="7">
        <v>44796.0</v>
      </c>
      <c r="P679" t="s" s="1">
        <v>3259</v>
      </c>
    </row>
    <row r="680" spans="1:16">
      <c r="A680" t="n" s="4">
        <v>676</v>
      </c>
      <c r="B680" s="2">
        <f>HYPERLINK("https://my.zakupki.prom.ua/remote/dispatcher/state_purchase_view/36910906", "UA-2022-08-03-006055-a")</f>
        <v/>
      </c>
      <c r="C680" t="s" s="2">
        <v>2890</v>
      </c>
      <c r="D680" s="2">
        <f>HYPERLINK("https://my.zakupki.prom.ua/remote/dispatcher/state_contracting_view/13757373", "UA-2022-08-03-006055-a-b1")</f>
        <v/>
      </c>
      <c r="E680" t="s" s="1">
        <v>1468</v>
      </c>
      <c r="F680" t="s" s="1">
        <v>2319</v>
      </c>
      <c r="G680" t="s" s="1">
        <v>3152</v>
      </c>
      <c r="H680" t="s" s="1">
        <v>636</v>
      </c>
      <c r="I680" t="s" s="1">
        <v>2017</v>
      </c>
      <c r="J680" t="s" s="1">
        <v>3113</v>
      </c>
      <c r="K680" t="s" s="1">
        <v>398</v>
      </c>
      <c r="L680" t="s" s="1">
        <v>952</v>
      </c>
      <c r="M680" t="n" s="5">
        <v>21388.98</v>
      </c>
      <c r="N680" t="n" s="7">
        <v>44776.0</v>
      </c>
      <c r="O680" t="n" s="7">
        <v>44796.0</v>
      </c>
      <c r="P680" t="s" s="1">
        <v>3259</v>
      </c>
    </row>
    <row r="681" spans="1:16">
      <c r="A681" t="n" s="4">
        <v>677</v>
      </c>
      <c r="B681" s="2">
        <f>HYPERLINK("https://my.zakupki.prom.ua/remote/dispatcher/state_purchase_view/36969413", "UA-2022-08-08-005827-a")</f>
        <v/>
      </c>
      <c r="C681" t="s" s="2">
        <v>2890</v>
      </c>
      <c r="D681" s="2">
        <f>HYPERLINK("https://my.zakupki.prom.ua/remote/dispatcher/state_contracting_view/13785150", "UA-2022-08-08-005827-a-b1")</f>
        <v/>
      </c>
      <c r="E681" t="s" s="1">
        <v>1835</v>
      </c>
      <c r="F681" t="s" s="1">
        <v>2384</v>
      </c>
      <c r="G681" t="s" s="1">
        <v>3026</v>
      </c>
      <c r="H681" t="s" s="1">
        <v>642</v>
      </c>
      <c r="I681" t="s" s="1">
        <v>2017</v>
      </c>
      <c r="J681" t="s" s="1">
        <v>2839</v>
      </c>
      <c r="K681" t="s" s="1">
        <v>318</v>
      </c>
      <c r="L681" t="s" s="1">
        <v>968</v>
      </c>
      <c r="M681" t="n" s="5">
        <v>4879.2</v>
      </c>
      <c r="N681" t="n" s="7">
        <v>44781.0</v>
      </c>
      <c r="O681" t="n" s="7">
        <v>44796.0</v>
      </c>
      <c r="P681" t="s" s="1">
        <v>3259</v>
      </c>
    </row>
    <row r="682" spans="1:16">
      <c r="A682" t="n" s="4">
        <v>678</v>
      </c>
      <c r="B682" s="2">
        <f>HYPERLINK("https://my.zakupki.prom.ua/remote/dispatcher/state_purchase_view/37023431", "UA-2022-08-11-003493-a")</f>
        <v/>
      </c>
      <c r="C682" t="s" s="2">
        <v>2890</v>
      </c>
      <c r="D682" s="2">
        <f>HYPERLINK("https://my.zakupki.prom.ua/remote/dispatcher/state_contracting_view/13810476", "UA-2022-08-11-003493-a-b1")</f>
        <v/>
      </c>
      <c r="E682" t="s" s="1">
        <v>1471</v>
      </c>
      <c r="F682" t="s" s="1">
        <v>2330</v>
      </c>
      <c r="G682" t="s" s="1">
        <v>2330</v>
      </c>
      <c r="H682" t="s" s="1">
        <v>638</v>
      </c>
      <c r="I682" t="s" s="1">
        <v>2017</v>
      </c>
      <c r="J682" t="s" s="1">
        <v>3125</v>
      </c>
      <c r="K682" t="s" s="1">
        <v>690</v>
      </c>
      <c r="L682" t="s" s="1">
        <v>975</v>
      </c>
      <c r="M682" t="n" s="5">
        <v>4815.0</v>
      </c>
      <c r="N682" t="n" s="7">
        <v>44783.0</v>
      </c>
      <c r="O682" t="n" s="7">
        <v>44796.0</v>
      </c>
      <c r="P682" t="s" s="1">
        <v>3259</v>
      </c>
    </row>
    <row r="683" spans="1:16">
      <c r="A683" t="n" s="4">
        <v>679</v>
      </c>
      <c r="B683" s="2">
        <f>HYPERLINK("https://my.zakupki.prom.ua/remote/dispatcher/state_purchase_view/36347610", "UA-2022-06-10-003815-a")</f>
        <v/>
      </c>
      <c r="C683" t="s" s="2">
        <v>2890</v>
      </c>
      <c r="D683" s="2">
        <f>HYPERLINK("https://my.zakupki.prom.ua/remote/dispatcher/state_contracting_view/13485095", "UA-2022-06-10-003815-a-b1")</f>
        <v/>
      </c>
      <c r="E683" t="s" s="1">
        <v>1586</v>
      </c>
      <c r="F683" t="s" s="1">
        <v>2557</v>
      </c>
      <c r="G683" t="s" s="1">
        <v>1982</v>
      </c>
      <c r="H683" t="s" s="1">
        <v>875</v>
      </c>
      <c r="I683" t="s" s="1">
        <v>2017</v>
      </c>
      <c r="J683" t="s" s="1">
        <v>2016</v>
      </c>
      <c r="K683" t="s" s="1">
        <v>474</v>
      </c>
      <c r="L683" t="s" s="1">
        <v>610</v>
      </c>
      <c r="M683" t="n" s="5">
        <v>17072.0</v>
      </c>
      <c r="N683" t="n" s="7">
        <v>44722.0</v>
      </c>
      <c r="O683" t="n" s="7">
        <v>44796.0</v>
      </c>
      <c r="P683" t="s" s="1">
        <v>3259</v>
      </c>
    </row>
    <row r="684" spans="1:16">
      <c r="A684" t="n" s="4">
        <v>680</v>
      </c>
      <c r="B684" s="2">
        <f>HYPERLINK("https://my.zakupki.prom.ua/remote/dispatcher/state_purchase_view/36873330", "UA-2022-08-01-004998-a")</f>
        <v/>
      </c>
      <c r="C684" t="s" s="2">
        <v>2890</v>
      </c>
      <c r="D684" s="2">
        <f>HYPERLINK("https://my.zakupki.prom.ua/remote/dispatcher/state_contracting_view/13739596", "UA-2022-08-01-004998-a-b1")</f>
        <v/>
      </c>
      <c r="E684" t="s" s="1">
        <v>26</v>
      </c>
      <c r="F684" t="s" s="1">
        <v>2137</v>
      </c>
      <c r="G684" t="s" s="1">
        <v>1541</v>
      </c>
      <c r="H684" t="s" s="1">
        <v>638</v>
      </c>
      <c r="I684" t="s" s="1">
        <v>2017</v>
      </c>
      <c r="J684" t="s" s="1">
        <v>3118</v>
      </c>
      <c r="K684" t="s" s="1">
        <v>343</v>
      </c>
      <c r="L684" t="s" s="1">
        <v>24</v>
      </c>
      <c r="M684" t="n" s="5">
        <v>7350.9</v>
      </c>
      <c r="N684" t="n" s="7">
        <v>44774.0</v>
      </c>
      <c r="O684" t="n" s="7">
        <v>44796.0</v>
      </c>
      <c r="P684" t="s" s="1">
        <v>3259</v>
      </c>
    </row>
    <row r="685" spans="1:16">
      <c r="A685" t="n" s="4">
        <v>681</v>
      </c>
      <c r="B685" s="2">
        <f>HYPERLINK("https://my.zakupki.prom.ua/remote/dispatcher/state_purchase_view/36693701", "UA-2022-07-15-003343-a")</f>
        <v/>
      </c>
      <c r="C685" t="s" s="2">
        <v>2890</v>
      </c>
      <c r="D685" s="2">
        <f>HYPERLINK("https://my.zakupki.prom.ua/remote/dispatcher/state_contracting_view/13655364", "UA-2022-07-15-003343-a-b1")</f>
        <v/>
      </c>
      <c r="E685" t="s" s="1">
        <v>538</v>
      </c>
      <c r="F685" t="s" s="1">
        <v>2143</v>
      </c>
      <c r="G685" t="s" s="1">
        <v>3002</v>
      </c>
      <c r="H685" t="s" s="1">
        <v>650</v>
      </c>
      <c r="I685" t="s" s="1">
        <v>2017</v>
      </c>
      <c r="J685" t="s" s="1">
        <v>3098</v>
      </c>
      <c r="K685" t="s" s="1">
        <v>652</v>
      </c>
      <c r="L685" t="s" s="1">
        <v>745</v>
      </c>
      <c r="M685" t="n" s="5">
        <v>9672.95</v>
      </c>
      <c r="N685" t="n" s="7">
        <v>44755.0</v>
      </c>
      <c r="O685" t="n" s="7">
        <v>44796.0</v>
      </c>
      <c r="P685" t="s" s="1">
        <v>3259</v>
      </c>
    </row>
    <row r="686" spans="1:16">
      <c r="A686" t="n" s="4">
        <v>682</v>
      </c>
      <c r="B686" s="2">
        <f>HYPERLINK("https://my.zakupki.prom.ua/remote/dispatcher/state_purchase_view/36436459", "UA-2022-06-21-003149-a")</f>
        <v/>
      </c>
      <c r="C686" t="s" s="2">
        <v>2890</v>
      </c>
      <c r="D686" s="2">
        <f>HYPERLINK("https://my.zakupki.prom.ua/remote/dispatcher/state_contracting_view/13530480", "UA-2022-06-21-003149-a-b1")</f>
        <v/>
      </c>
      <c r="E686" t="s" s="1">
        <v>1288</v>
      </c>
      <c r="F686" t="s" s="1">
        <v>2363</v>
      </c>
      <c r="G686" t="s" s="1">
        <v>1958</v>
      </c>
      <c r="H686" t="s" s="1">
        <v>640</v>
      </c>
      <c r="I686" t="s" s="1">
        <v>2017</v>
      </c>
      <c r="J686" t="s" s="1">
        <v>3125</v>
      </c>
      <c r="K686" t="s" s="1">
        <v>690</v>
      </c>
      <c r="L686" t="s" s="1">
        <v>678</v>
      </c>
      <c r="M686" t="n" s="5">
        <v>63948.55</v>
      </c>
      <c r="N686" t="n" s="7">
        <v>44733.0</v>
      </c>
      <c r="O686" t="n" s="7">
        <v>44796.0</v>
      </c>
      <c r="P686" t="s" s="1">
        <v>3259</v>
      </c>
    </row>
    <row r="687" spans="1:16">
      <c r="A687" t="n" s="4">
        <v>683</v>
      </c>
      <c r="B687" s="2">
        <f>HYPERLINK("https://my.zakupki.prom.ua/remote/dispatcher/state_purchase_view/36437240", "UA-2022-06-21-003588-a")</f>
        <v/>
      </c>
      <c r="C687" t="s" s="2">
        <v>2890</v>
      </c>
      <c r="D687" s="2">
        <f>HYPERLINK("https://my.zakupki.prom.ua/remote/dispatcher/state_contracting_view/13530699", "UA-2022-06-21-003588-a-b1")</f>
        <v/>
      </c>
      <c r="E687" t="s" s="1">
        <v>1697</v>
      </c>
      <c r="F687" t="s" s="1">
        <v>2380</v>
      </c>
      <c r="G687" t="s" s="1">
        <v>1865</v>
      </c>
      <c r="H687" t="s" s="1">
        <v>642</v>
      </c>
      <c r="I687" t="s" s="1">
        <v>2017</v>
      </c>
      <c r="J687" t="s" s="1">
        <v>3125</v>
      </c>
      <c r="K687" t="s" s="1">
        <v>690</v>
      </c>
      <c r="L687" t="s" s="1">
        <v>682</v>
      </c>
      <c r="M687" t="n" s="5">
        <v>16763.69</v>
      </c>
      <c r="N687" t="n" s="7">
        <v>44733.0</v>
      </c>
      <c r="O687" t="n" s="7">
        <v>44796.0</v>
      </c>
      <c r="P687" t="s" s="1">
        <v>3259</v>
      </c>
    </row>
    <row r="688" spans="1:16">
      <c r="A688" t="n" s="4">
        <v>684</v>
      </c>
      <c r="B688" s="2">
        <f>HYPERLINK("https://my.zakupki.prom.ua/remote/dispatcher/state_purchase_view/36455037", "UA-2022-06-22-005795-a")</f>
        <v/>
      </c>
      <c r="C688" t="s" s="2">
        <v>2890</v>
      </c>
      <c r="D688" s="2">
        <f>HYPERLINK("https://my.zakupki.prom.ua/remote/dispatcher/state_contracting_view/13540150", "UA-2022-06-22-005795-a-b1")</f>
        <v/>
      </c>
      <c r="E688" t="s" s="1">
        <v>1627</v>
      </c>
      <c r="F688" t="s" s="1">
        <v>2362</v>
      </c>
      <c r="G688" t="s" s="1">
        <v>2362</v>
      </c>
      <c r="H688" t="s" s="1">
        <v>640</v>
      </c>
      <c r="I688" t="s" s="1">
        <v>2017</v>
      </c>
      <c r="J688" t="s" s="1">
        <v>3106</v>
      </c>
      <c r="K688" t="s" s="1">
        <v>585</v>
      </c>
      <c r="L688" t="s" s="1">
        <v>685</v>
      </c>
      <c r="M688" t="n" s="5">
        <v>132880.0</v>
      </c>
      <c r="N688" t="n" s="7">
        <v>44734.0</v>
      </c>
      <c r="O688" t="n" s="7">
        <v>44796.0</v>
      </c>
      <c r="P688" t="s" s="1">
        <v>3259</v>
      </c>
    </row>
    <row r="689" spans="1:16">
      <c r="A689" t="n" s="4">
        <v>685</v>
      </c>
      <c r="B689" s="2">
        <f>HYPERLINK("https://my.zakupki.prom.ua/remote/dispatcher/state_purchase_view/36348171", "UA-2022-06-10-004122-a")</f>
        <v/>
      </c>
      <c r="C689" t="s" s="2">
        <v>2890</v>
      </c>
      <c r="D689" s="2">
        <f>HYPERLINK("https://my.zakupki.prom.ua/remote/dispatcher/state_contracting_view/13485453", "UA-2022-06-10-004122-a-b1")</f>
        <v/>
      </c>
      <c r="E689" t="s" s="1">
        <v>1452</v>
      </c>
      <c r="F689" t="s" s="1">
        <v>2398</v>
      </c>
      <c r="G689" t="s" s="1">
        <v>3182</v>
      </c>
      <c r="H689" t="s" s="1">
        <v>650</v>
      </c>
      <c r="I689" t="s" s="1">
        <v>2017</v>
      </c>
      <c r="J689" t="s" s="1">
        <v>3113</v>
      </c>
      <c r="K689" t="s" s="1">
        <v>398</v>
      </c>
      <c r="L689" t="s" s="1">
        <v>592</v>
      </c>
      <c r="M689" t="n" s="5">
        <v>34306.53</v>
      </c>
      <c r="N689" t="n" s="7">
        <v>44721.0</v>
      </c>
      <c r="O689" t="n" s="7">
        <v>44796.0</v>
      </c>
      <c r="P689" t="s" s="1">
        <v>3259</v>
      </c>
    </row>
    <row r="690" spans="1:16">
      <c r="A690" t="n" s="4">
        <v>686</v>
      </c>
      <c r="B690" s="2">
        <f>HYPERLINK("https://my.zakupki.prom.ua/remote/dispatcher/state_purchase_view/36289902", "UA-2022-06-06-001367-a")</f>
        <v/>
      </c>
      <c r="C690" t="s" s="2">
        <v>2890</v>
      </c>
      <c r="D690" s="2">
        <f>HYPERLINK("https://my.zakupki.prom.ua/remote/dispatcher/state_contracting_view/13456015", "UA-2022-06-06-001367-a-b1")</f>
        <v/>
      </c>
      <c r="E690" t="s" s="1">
        <v>1490</v>
      </c>
      <c r="F690" t="s" s="1">
        <v>2154</v>
      </c>
      <c r="G690" t="s" s="1">
        <v>2154</v>
      </c>
      <c r="H690" t="s" s="1">
        <v>1319</v>
      </c>
      <c r="I690" t="s" s="1">
        <v>2017</v>
      </c>
      <c r="J690" t="s" s="1">
        <v>1907</v>
      </c>
      <c r="K690" t="s" s="1">
        <v>263</v>
      </c>
      <c r="L690" t="s" s="1">
        <v>559</v>
      </c>
      <c r="M690" t="n" s="5">
        <v>7169.06</v>
      </c>
      <c r="N690" t="n" s="7">
        <v>44718.0</v>
      </c>
      <c r="O690" t="n" s="7">
        <v>44796.0</v>
      </c>
      <c r="P690" t="s" s="1">
        <v>3259</v>
      </c>
    </row>
    <row r="691" spans="1:16">
      <c r="A691" t="n" s="4">
        <v>687</v>
      </c>
      <c r="B691" s="2">
        <f>HYPERLINK("https://my.zakupki.prom.ua/remote/dispatcher/state_purchase_view/37119821", "UA-2022-08-18-000498-a")</f>
        <v/>
      </c>
      <c r="C691" t="s" s="2">
        <v>2890</v>
      </c>
      <c r="D691" s="2">
        <f>HYPERLINK("https://my.zakupki.prom.ua/remote/dispatcher/state_contracting_view/13856587", "UA-2022-08-18-000498-a-b1")</f>
        <v/>
      </c>
      <c r="E691" t="s" s="1">
        <v>1790</v>
      </c>
      <c r="F691" t="s" s="1">
        <v>2372</v>
      </c>
      <c r="G691" t="s" s="1">
        <v>2372</v>
      </c>
      <c r="H691" t="s" s="1">
        <v>641</v>
      </c>
      <c r="I691" t="s" s="1">
        <v>2017</v>
      </c>
      <c r="J691" t="s" s="1">
        <v>3125</v>
      </c>
      <c r="K691" t="s" s="1">
        <v>690</v>
      </c>
      <c r="L691" t="s" s="1">
        <v>1001</v>
      </c>
      <c r="M691" t="n" s="5">
        <v>1249.97</v>
      </c>
      <c r="N691" t="n" s="7">
        <v>44790.0</v>
      </c>
      <c r="O691" t="n" s="7">
        <v>44796.0</v>
      </c>
      <c r="P691" t="s" s="1">
        <v>3259</v>
      </c>
    </row>
    <row r="692" spans="1:16">
      <c r="A692" t="n" s="4">
        <v>688</v>
      </c>
      <c r="B692" s="2">
        <f>HYPERLINK("https://my.zakupki.prom.ua/remote/dispatcher/state_purchase_view/37119985", "UA-2022-08-18-000575-a")</f>
        <v/>
      </c>
      <c r="C692" t="s" s="2">
        <v>2890</v>
      </c>
      <c r="D692" s="2">
        <f>HYPERLINK("https://my.zakupki.prom.ua/remote/dispatcher/state_contracting_view/13856502", "UA-2022-08-18-000575-a-b1")</f>
        <v/>
      </c>
      <c r="E692" t="s" s="1">
        <v>1764</v>
      </c>
      <c r="F692" t="s" s="1">
        <v>2379</v>
      </c>
      <c r="G692" t="s" s="1">
        <v>2379</v>
      </c>
      <c r="H692" t="s" s="1">
        <v>642</v>
      </c>
      <c r="I692" t="s" s="1">
        <v>2017</v>
      </c>
      <c r="J692" t="s" s="1">
        <v>3125</v>
      </c>
      <c r="K692" t="s" s="1">
        <v>690</v>
      </c>
      <c r="L692" t="s" s="1">
        <v>1002</v>
      </c>
      <c r="M692" t="n" s="5">
        <v>1399.99</v>
      </c>
      <c r="N692" t="n" s="7">
        <v>44790.0</v>
      </c>
      <c r="O692" t="n" s="7">
        <v>44796.0</v>
      </c>
      <c r="P692" t="s" s="1">
        <v>3259</v>
      </c>
    </row>
    <row r="693" spans="1:16">
      <c r="A693" t="n" s="4">
        <v>689</v>
      </c>
      <c r="B693" s="2">
        <f>HYPERLINK("https://my.zakupki.prom.ua/remote/dispatcher/state_purchase_view/36842294", "UA-2022-07-28-003458-a")</f>
        <v/>
      </c>
      <c r="C693" t="s" s="2">
        <v>2890</v>
      </c>
      <c r="D693" s="2">
        <f>HYPERLINK("https://my.zakupki.prom.ua/remote/dispatcher/state_contracting_view/13724624", "UA-2022-07-28-003458-a-b1")</f>
        <v/>
      </c>
      <c r="E693" t="s" s="1">
        <v>1705</v>
      </c>
      <c r="F693" t="s" s="1">
        <v>2385</v>
      </c>
      <c r="G693" t="s" s="1">
        <v>3027</v>
      </c>
      <c r="H693" t="s" s="1">
        <v>642</v>
      </c>
      <c r="I693" t="s" s="1">
        <v>2017</v>
      </c>
      <c r="J693" t="s" s="1">
        <v>2839</v>
      </c>
      <c r="K693" t="s" s="1">
        <v>318</v>
      </c>
      <c r="L693" t="s" s="1">
        <v>928</v>
      </c>
      <c r="M693" t="n" s="5">
        <v>30854.52</v>
      </c>
      <c r="N693" t="n" s="7">
        <v>44770.0</v>
      </c>
      <c r="O693" t="n" s="7">
        <v>44796.0</v>
      </c>
      <c r="P693" t="s" s="1">
        <v>3259</v>
      </c>
    </row>
    <row r="694" spans="1:16">
      <c r="A694" t="n" s="4">
        <v>690</v>
      </c>
      <c r="B694" s="2">
        <f>HYPERLINK("https://my.zakupki.prom.ua/remote/dispatcher/state_purchase_view/36320143", "UA-2022-06-08-003394-a")</f>
        <v/>
      </c>
      <c r="C694" t="s" s="2">
        <v>2890</v>
      </c>
      <c r="D694" s="2">
        <f>HYPERLINK("https://my.zakupki.prom.ua/remote/dispatcher/state_contracting_view/13471323", "UA-2022-06-08-003394-a-b1")</f>
        <v/>
      </c>
      <c r="E694" t="s" s="1">
        <v>1086</v>
      </c>
      <c r="F694" t="s" s="1">
        <v>2189</v>
      </c>
      <c r="G694" t="s" s="1">
        <v>3201</v>
      </c>
      <c r="H694" t="s" s="1">
        <v>177</v>
      </c>
      <c r="I694" t="s" s="1">
        <v>2017</v>
      </c>
      <c r="J694" t="s" s="1">
        <v>2863</v>
      </c>
      <c r="K694" t="s" s="1">
        <v>339</v>
      </c>
      <c r="L694" t="s" s="1">
        <v>561</v>
      </c>
      <c r="M694" t="n" s="5">
        <v>72500.0</v>
      </c>
      <c r="N694" t="n" s="7">
        <v>44720.0</v>
      </c>
      <c r="O694" t="n" s="7">
        <v>44796.0</v>
      </c>
      <c r="P694" t="s" s="1">
        <v>3259</v>
      </c>
    </row>
    <row r="695" spans="1:16">
      <c r="A695" t="n" s="4">
        <v>691</v>
      </c>
      <c r="B695" s="2">
        <f>HYPERLINK("https://my.zakupki.prom.ua/remote/dispatcher/state_purchase_view/36520349", "UA-2022-06-29-005698-a")</f>
        <v/>
      </c>
      <c r="C695" t="s" s="2">
        <v>2890</v>
      </c>
      <c r="D695" s="2">
        <f>HYPERLINK("https://my.zakupki.prom.ua/remote/dispatcher/state_contracting_view/13572340", "UA-2022-06-29-005698-a-b1")</f>
        <v/>
      </c>
      <c r="E695" t="s" s="1">
        <v>764</v>
      </c>
      <c r="F695" t="s" s="1">
        <v>2138</v>
      </c>
      <c r="G695" t="s" s="1">
        <v>1912</v>
      </c>
      <c r="H695" t="s" s="1">
        <v>638</v>
      </c>
      <c r="I695" t="s" s="1">
        <v>2017</v>
      </c>
      <c r="J695" t="s" s="1">
        <v>3125</v>
      </c>
      <c r="K695" t="s" s="1">
        <v>690</v>
      </c>
      <c r="L695" t="s" s="1">
        <v>701</v>
      </c>
      <c r="M695" t="n" s="5">
        <v>100233.24</v>
      </c>
      <c r="N695" t="n" s="7">
        <v>44740.0</v>
      </c>
      <c r="O695" t="n" s="7">
        <v>44796.0</v>
      </c>
      <c r="P695" t="s" s="1">
        <v>3259</v>
      </c>
    </row>
    <row r="696" spans="1:16">
      <c r="A696" t="n" s="4">
        <v>692</v>
      </c>
      <c r="B696" s="2">
        <f>HYPERLINK("https://my.zakupki.prom.ua/remote/dispatcher/state_purchase_view/36436938", "UA-2022-06-21-003410-a")</f>
        <v/>
      </c>
      <c r="C696" t="s" s="2">
        <v>2890</v>
      </c>
      <c r="D696" s="2">
        <f>HYPERLINK("https://my.zakupki.prom.ua/remote/dispatcher/state_contracting_view/13530598", "UA-2022-06-21-003410-a-b1")</f>
        <v/>
      </c>
      <c r="E696" t="s" s="1">
        <v>1237</v>
      </c>
      <c r="F696" t="s" s="1">
        <v>2803</v>
      </c>
      <c r="G696" t="s" s="1">
        <v>2818</v>
      </c>
      <c r="H696" t="s" s="1">
        <v>642</v>
      </c>
      <c r="I696" t="s" s="1">
        <v>2017</v>
      </c>
      <c r="J696" t="s" s="1">
        <v>3125</v>
      </c>
      <c r="K696" t="s" s="1">
        <v>690</v>
      </c>
      <c r="L696" t="s" s="1">
        <v>681</v>
      </c>
      <c r="M696" t="n" s="5">
        <v>32645.7</v>
      </c>
      <c r="N696" t="n" s="7">
        <v>44733.0</v>
      </c>
      <c r="O696" t="n" s="7">
        <v>44796.0</v>
      </c>
      <c r="P696" t="s" s="1">
        <v>3259</v>
      </c>
    </row>
    <row r="697" spans="1:16">
      <c r="A697" t="n" s="4">
        <v>693</v>
      </c>
      <c r="B697" s="2">
        <f>HYPERLINK("https://my.zakupki.prom.ua/remote/dispatcher/state_purchase_view/36319724", "UA-2022-06-08-003190-a")</f>
        <v/>
      </c>
      <c r="C697" t="s" s="2">
        <v>2890</v>
      </c>
      <c r="D697" s="2">
        <f>HYPERLINK("https://my.zakupki.prom.ua/remote/dispatcher/state_contracting_view/13471169", "UA-2022-06-08-003190-a-b1")</f>
        <v/>
      </c>
      <c r="E697" t="s" s="1">
        <v>1081</v>
      </c>
      <c r="F697" t="s" s="1">
        <v>2321</v>
      </c>
      <c r="G697" t="s" s="1">
        <v>3229</v>
      </c>
      <c r="H697" t="s" s="1">
        <v>636</v>
      </c>
      <c r="I697" t="s" s="1">
        <v>2017</v>
      </c>
      <c r="J697" t="s" s="1">
        <v>2915</v>
      </c>
      <c r="K697" t="s" s="1">
        <v>319</v>
      </c>
      <c r="L697" t="s" s="1">
        <v>327</v>
      </c>
      <c r="M697" t="n" s="5">
        <v>13519.99</v>
      </c>
      <c r="N697" t="n" s="7">
        <v>44720.0</v>
      </c>
      <c r="O697" t="n" s="7">
        <v>44796.0</v>
      </c>
      <c r="P697" t="s" s="1">
        <v>3259</v>
      </c>
    </row>
    <row r="698" spans="1:16">
      <c r="A698" t="n" s="4">
        <v>694</v>
      </c>
      <c r="B698" s="2">
        <f>HYPERLINK("https://my.zakupki.prom.ua/remote/dispatcher/state_purchase_view/36813114", "UA-2022-07-26-006258-a")</f>
        <v/>
      </c>
      <c r="C698" t="s" s="2">
        <v>2890</v>
      </c>
      <c r="D698" s="2">
        <f>HYPERLINK("https://my.zakupki.prom.ua/remote/dispatcher/state_contracting_view/13711218", "UA-2022-07-26-006258-a-b1")</f>
        <v/>
      </c>
      <c r="E698" t="s" s="1">
        <v>1773</v>
      </c>
      <c r="F698" t="s" s="1">
        <v>2708</v>
      </c>
      <c r="G698" t="s" s="1">
        <v>2708</v>
      </c>
      <c r="H698" t="s" s="1">
        <v>1314</v>
      </c>
      <c r="I698" t="s" s="1">
        <v>2017</v>
      </c>
      <c r="J698" t="s" s="1">
        <v>3105</v>
      </c>
      <c r="K698" t="s" s="1">
        <v>675</v>
      </c>
      <c r="L698" t="s" s="1">
        <v>1913</v>
      </c>
      <c r="M698" t="n" s="5">
        <v>27000.0</v>
      </c>
      <c r="N698" t="n" s="7">
        <v>44768.0</v>
      </c>
      <c r="O698" t="n" s="7">
        <v>44796.0</v>
      </c>
      <c r="P698" t="s" s="1">
        <v>3259</v>
      </c>
    </row>
    <row r="699" spans="1:16">
      <c r="A699" t="n" s="4">
        <v>695</v>
      </c>
      <c r="B699" s="2">
        <f>HYPERLINK("https://my.zakupki.prom.ua/remote/dispatcher/state_purchase_view/36874608", "UA-2022-08-01-005683-a")</f>
        <v/>
      </c>
      <c r="C699" t="s" s="2">
        <v>2890</v>
      </c>
      <c r="D699" s="2">
        <f>HYPERLINK("https://my.zakupki.prom.ua/remote/dispatcher/state_contracting_view/13740340", "UA-2022-08-01-005683-a-b1")</f>
        <v/>
      </c>
      <c r="E699" t="s" s="1">
        <v>1780</v>
      </c>
      <c r="F699" t="s" s="1">
        <v>2797</v>
      </c>
      <c r="G699" t="s" s="1">
        <v>3006</v>
      </c>
      <c r="H699" t="s" s="1">
        <v>653</v>
      </c>
      <c r="I699" t="s" s="1">
        <v>2017</v>
      </c>
      <c r="J699" t="s" s="1">
        <v>3179</v>
      </c>
      <c r="K699" t="s" s="1">
        <v>457</v>
      </c>
      <c r="L699" t="s" s="1">
        <v>946</v>
      </c>
      <c r="M699" t="n" s="5">
        <v>3325.0</v>
      </c>
      <c r="N699" t="n" s="7">
        <v>44774.0</v>
      </c>
      <c r="O699" t="n" s="7">
        <v>44796.0</v>
      </c>
      <c r="P699" t="s" s="1">
        <v>3259</v>
      </c>
    </row>
    <row r="700" spans="1:16">
      <c r="A700" t="n" s="4">
        <v>696</v>
      </c>
      <c r="B700" s="2">
        <f>HYPERLINK("https://my.zakupki.prom.ua/remote/dispatcher/state_purchase_view/36927277", "UA-2022-08-04-004474-a")</f>
        <v/>
      </c>
      <c r="C700" t="s" s="2">
        <v>2890</v>
      </c>
      <c r="D700" s="2">
        <f>HYPERLINK("https://my.zakupki.prom.ua/remote/dispatcher/state_contracting_view/13765300", "UA-2022-08-04-004474-a-b1")</f>
        <v/>
      </c>
      <c r="E700" t="s" s="1">
        <v>1410</v>
      </c>
      <c r="F700" t="s" s="1">
        <v>2373</v>
      </c>
      <c r="G700" t="s" s="1">
        <v>1864</v>
      </c>
      <c r="H700" t="s" s="1">
        <v>642</v>
      </c>
      <c r="I700" t="s" s="1">
        <v>2017</v>
      </c>
      <c r="J700" t="s" s="1">
        <v>3125</v>
      </c>
      <c r="K700" t="s" s="1">
        <v>690</v>
      </c>
      <c r="L700" t="s" s="1">
        <v>962</v>
      </c>
      <c r="M700" t="n" s="5">
        <v>6586.92</v>
      </c>
      <c r="N700" t="n" s="7">
        <v>44777.0</v>
      </c>
      <c r="O700" t="n" s="7">
        <v>44796.0</v>
      </c>
      <c r="P700" t="s" s="1">
        <v>3259</v>
      </c>
    </row>
    <row r="701" spans="1:16">
      <c r="A701" t="n" s="4">
        <v>697</v>
      </c>
      <c r="B701" s="2">
        <f>HYPERLINK("https://my.zakupki.prom.ua/remote/dispatcher/state_purchase_view/36472985", "UA-2022-06-24-000353-a")</f>
        <v/>
      </c>
      <c r="C701" t="s" s="2">
        <v>2890</v>
      </c>
      <c r="D701" s="2">
        <f>HYPERLINK("https://my.zakupki.prom.ua/remote/dispatcher/state_contracting_view/13548958", "UA-2022-06-24-000353-a-b1")</f>
        <v/>
      </c>
      <c r="E701" t="s" s="1">
        <v>22</v>
      </c>
      <c r="F701" t="s" s="1">
        <v>2168</v>
      </c>
      <c r="G701" t="s" s="1">
        <v>3244</v>
      </c>
      <c r="H701" t="s" s="1">
        <v>68</v>
      </c>
      <c r="I701" t="s" s="1">
        <v>2017</v>
      </c>
      <c r="J701" t="s" s="1">
        <v>3128</v>
      </c>
      <c r="K701" t="s" s="1">
        <v>777</v>
      </c>
      <c r="L701" t="s" s="1">
        <v>991</v>
      </c>
      <c r="M701" t="n" s="5">
        <v>27300.0</v>
      </c>
      <c r="N701" t="n" s="7">
        <v>44735.0</v>
      </c>
      <c r="O701" t="n" s="7">
        <v>44796.0</v>
      </c>
      <c r="P701" t="s" s="1">
        <v>3259</v>
      </c>
    </row>
    <row r="702" spans="1:16">
      <c r="A702" t="n" s="4">
        <v>698</v>
      </c>
      <c r="B702" s="2">
        <f>HYPERLINK("https://my.zakupki.prom.ua/remote/dispatcher/state_purchase_view/36729240", "UA-2022-07-19-005445-a")</f>
        <v/>
      </c>
      <c r="C702" t="s" s="2">
        <v>2890</v>
      </c>
      <c r="D702" s="2">
        <f>HYPERLINK("https://my.zakupki.prom.ua/remote/dispatcher/state_contracting_view/13671796", "UA-2022-07-19-005445-a-b1")</f>
        <v/>
      </c>
      <c r="E702" t="s" s="1">
        <v>1617</v>
      </c>
      <c r="F702" t="s" s="1">
        <v>2375</v>
      </c>
      <c r="G702" t="s" s="1">
        <v>2816</v>
      </c>
      <c r="H702" t="s" s="1">
        <v>642</v>
      </c>
      <c r="I702" t="s" s="1">
        <v>2017</v>
      </c>
      <c r="J702" t="s" s="1">
        <v>3125</v>
      </c>
      <c r="K702" t="s" s="1">
        <v>690</v>
      </c>
      <c r="L702" t="s" s="1">
        <v>825</v>
      </c>
      <c r="M702" t="n" s="5">
        <v>40162.45</v>
      </c>
      <c r="N702" t="n" s="7">
        <v>44760.0</v>
      </c>
      <c r="O702" t="n" s="7">
        <v>44796.0</v>
      </c>
      <c r="P702" t="s" s="1">
        <v>3259</v>
      </c>
    </row>
    <row r="703" spans="1:16">
      <c r="A703" t="n" s="4">
        <v>699</v>
      </c>
      <c r="B703" s="2">
        <f>HYPERLINK("https://my.zakupki.prom.ua/remote/dispatcher/state_purchase_view/36893960", "UA-2022-08-02-006911-a")</f>
        <v/>
      </c>
      <c r="C703" t="s" s="2">
        <v>2890</v>
      </c>
      <c r="D703" s="2">
        <f>HYPERLINK("https://my.zakupki.prom.ua/remote/dispatcher/state_contracting_view/13749397", "UA-2022-08-02-006911-a-b1")</f>
        <v/>
      </c>
      <c r="E703" t="s" s="1">
        <v>1139</v>
      </c>
      <c r="F703" t="s" s="1">
        <v>2322</v>
      </c>
      <c r="G703" t="s" s="1">
        <v>3150</v>
      </c>
      <c r="H703" t="s" s="1">
        <v>636</v>
      </c>
      <c r="I703" t="s" s="1">
        <v>2017</v>
      </c>
      <c r="J703" t="s" s="1">
        <v>3098</v>
      </c>
      <c r="K703" t="s" s="1">
        <v>652</v>
      </c>
      <c r="L703" t="s" s="1">
        <v>225</v>
      </c>
      <c r="M703" t="n" s="5">
        <v>31220.0</v>
      </c>
      <c r="N703" t="n" s="7">
        <v>44775.0</v>
      </c>
      <c r="O703" t="n" s="7">
        <v>44796.0</v>
      </c>
      <c r="P703" t="s" s="1">
        <v>3259</v>
      </c>
    </row>
    <row r="704" spans="1:16">
      <c r="A704" t="n" s="4">
        <v>700</v>
      </c>
      <c r="B704" s="2">
        <f>HYPERLINK("https://my.zakupki.prom.ua/remote/dispatcher/state_purchase_view/36840633", "UA-2022-07-28-002692-a")</f>
        <v/>
      </c>
      <c r="C704" t="s" s="2">
        <v>2890</v>
      </c>
      <c r="D704" s="2">
        <f>HYPERLINK("https://my.zakupki.prom.ua/remote/dispatcher/state_contracting_view/13723998", "UA-2022-07-28-002692-a-b1")</f>
        <v/>
      </c>
      <c r="E704" t="s" s="1">
        <v>1136</v>
      </c>
      <c r="F704" t="s" s="1">
        <v>2168</v>
      </c>
      <c r="G704" t="s" s="1">
        <v>3244</v>
      </c>
      <c r="H704" t="s" s="1">
        <v>68</v>
      </c>
      <c r="I704" t="s" s="1">
        <v>2017</v>
      </c>
      <c r="J704" t="s" s="1">
        <v>3128</v>
      </c>
      <c r="K704" t="s" s="1">
        <v>777</v>
      </c>
      <c r="L704" t="s" s="1">
        <v>993</v>
      </c>
      <c r="M704" t="n" s="5">
        <v>49220.0</v>
      </c>
      <c r="N704" t="n" s="7">
        <v>44769.0</v>
      </c>
      <c r="O704" t="n" s="7">
        <v>44796.0</v>
      </c>
      <c r="P704" t="s" s="1">
        <v>3259</v>
      </c>
    </row>
    <row r="705" spans="1:16">
      <c r="A705" t="n" s="4">
        <v>701</v>
      </c>
      <c r="B705" s="2">
        <f>HYPERLINK("https://my.zakupki.prom.ua/remote/dispatcher/state_purchase_view/36318836", "UA-2022-06-08-002697-a")</f>
        <v/>
      </c>
      <c r="C705" t="s" s="2">
        <v>2890</v>
      </c>
      <c r="D705" s="2">
        <f>HYPERLINK("https://my.zakupki.prom.ua/remote/dispatcher/state_contracting_view/13470673", "UA-2022-06-08-002697-a-b1")</f>
        <v/>
      </c>
      <c r="E705" t="s" s="1">
        <v>1615</v>
      </c>
      <c r="F705" t="s" s="1">
        <v>2394</v>
      </c>
      <c r="G705" t="s" s="1">
        <v>2876</v>
      </c>
      <c r="H705" t="s" s="1">
        <v>650</v>
      </c>
      <c r="I705" t="s" s="1">
        <v>2017</v>
      </c>
      <c r="J705" t="s" s="1">
        <v>3098</v>
      </c>
      <c r="K705" t="s" s="1">
        <v>652</v>
      </c>
      <c r="L705" t="s" s="1">
        <v>564</v>
      </c>
      <c r="M705" t="n" s="5">
        <v>21480.0</v>
      </c>
      <c r="N705" t="n" s="7">
        <v>44718.0</v>
      </c>
      <c r="O705" t="n" s="7">
        <v>44796.0</v>
      </c>
      <c r="P705" t="s" s="1">
        <v>3259</v>
      </c>
    </row>
    <row r="706" spans="1:16">
      <c r="A706" t="n" s="4">
        <v>702</v>
      </c>
      <c r="B706" s="2">
        <f>HYPERLINK("https://my.zakupki.prom.ua/remote/dispatcher/state_purchase_view/36362435", "UA-2022-06-13-005119-a")</f>
        <v/>
      </c>
      <c r="C706" t="s" s="2">
        <v>2890</v>
      </c>
      <c r="D706" s="2">
        <f>HYPERLINK("https://my.zakupki.prom.ua/remote/dispatcher/state_contracting_view/13492869", "UA-2022-06-13-005119-a-b1")</f>
        <v/>
      </c>
      <c r="E706" t="s" s="1">
        <v>1527</v>
      </c>
      <c r="F706" t="s" s="1">
        <v>2804</v>
      </c>
      <c r="G706" t="s" s="1">
        <v>2972</v>
      </c>
      <c r="H706" t="s" s="1">
        <v>190</v>
      </c>
      <c r="I706" t="s" s="1">
        <v>2017</v>
      </c>
      <c r="J706" t="s" s="1">
        <v>2008</v>
      </c>
      <c r="K706" t="s" s="1">
        <v>671</v>
      </c>
      <c r="L706" t="s" s="1">
        <v>622</v>
      </c>
      <c r="M706" t="n" s="5">
        <v>105550.0</v>
      </c>
      <c r="N706" t="n" s="7">
        <v>44725.0</v>
      </c>
      <c r="O706" t="n" s="7">
        <v>44796.0</v>
      </c>
      <c r="P706" t="s" s="1">
        <v>3259</v>
      </c>
    </row>
    <row r="707" spans="1:16">
      <c r="A707" t="n" s="4">
        <v>703</v>
      </c>
      <c r="B707" s="2">
        <f>HYPERLINK("https://my.zakupki.prom.ua/remote/dispatcher/state_purchase_view/36927062", "UA-2022-08-04-004341-a")</f>
        <v/>
      </c>
      <c r="C707" t="s" s="2">
        <v>2890</v>
      </c>
      <c r="D707" s="2">
        <f>HYPERLINK("https://my.zakupki.prom.ua/remote/dispatcher/state_contracting_view/13765020", "UA-2022-08-04-004341-a-b1")</f>
        <v/>
      </c>
      <c r="E707" t="s" s="1">
        <v>530</v>
      </c>
      <c r="F707" t="s" s="1">
        <v>2376</v>
      </c>
      <c r="G707" t="s" s="1">
        <v>2817</v>
      </c>
      <c r="H707" t="s" s="1">
        <v>642</v>
      </c>
      <c r="I707" t="s" s="1">
        <v>2017</v>
      </c>
      <c r="J707" t="s" s="1">
        <v>3125</v>
      </c>
      <c r="K707" t="s" s="1">
        <v>690</v>
      </c>
      <c r="L707" t="s" s="1">
        <v>960</v>
      </c>
      <c r="M707" t="n" s="5">
        <v>12058.9</v>
      </c>
      <c r="N707" t="n" s="7">
        <v>44777.0</v>
      </c>
      <c r="O707" t="n" s="7">
        <v>44796.0</v>
      </c>
      <c r="P707" t="s" s="1">
        <v>3259</v>
      </c>
    </row>
    <row r="708" spans="1:16">
      <c r="A708" t="n" s="4">
        <v>704</v>
      </c>
      <c r="B708" s="2">
        <f>HYPERLINK("https://my.zakupki.prom.ua/remote/dispatcher/state_purchase_view/36762299", "UA-2022-07-21-005211-a")</f>
        <v/>
      </c>
      <c r="C708" t="s" s="2">
        <v>2890</v>
      </c>
      <c r="D708" s="2">
        <f>HYPERLINK("https://my.zakupki.prom.ua/remote/dispatcher/state_contracting_view/13783005", "UA-2022-07-21-005211-a-b1")</f>
        <v/>
      </c>
      <c r="E708" t="s" s="1">
        <v>1347</v>
      </c>
      <c r="F708" t="s" s="1">
        <v>2081</v>
      </c>
      <c r="G708" t="s" s="1">
        <v>2001</v>
      </c>
      <c r="H708" t="s" s="1">
        <v>640</v>
      </c>
      <c r="I708" t="s" s="1">
        <v>3022</v>
      </c>
      <c r="J708" t="s" s="1">
        <v>3087</v>
      </c>
      <c r="K708" t="s" s="1">
        <v>870</v>
      </c>
      <c r="L708" t="s" s="1">
        <v>966</v>
      </c>
      <c r="M708" t="n" s="5">
        <v>1148670.0</v>
      </c>
      <c r="N708" t="n" s="7">
        <v>44781.0</v>
      </c>
      <c r="O708" t="n" s="7">
        <v>44796.0</v>
      </c>
      <c r="P708" t="s" s="1">
        <v>3259</v>
      </c>
    </row>
    <row r="709" spans="1:16">
      <c r="A709" t="n" s="4">
        <v>705</v>
      </c>
      <c r="B709" s="2">
        <f>HYPERLINK("https://my.zakupki.prom.ua/remote/dispatcher/state_purchase_view/36319204", "UA-2022-06-08-002925-a")</f>
        <v/>
      </c>
      <c r="C709" t="s" s="2">
        <v>2890</v>
      </c>
      <c r="D709" s="2">
        <f>HYPERLINK("https://my.zakupki.prom.ua/remote/dispatcher/state_contracting_view/13470913", "UA-2022-06-08-002925-a-b1")</f>
        <v/>
      </c>
      <c r="E709" t="s" s="1">
        <v>1381</v>
      </c>
      <c r="F709" t="s" s="1">
        <v>2395</v>
      </c>
      <c r="G709" t="s" s="1">
        <v>2960</v>
      </c>
      <c r="H709" t="s" s="1">
        <v>650</v>
      </c>
      <c r="I709" t="s" s="1">
        <v>2017</v>
      </c>
      <c r="J709" t="s" s="1">
        <v>3098</v>
      </c>
      <c r="K709" t="s" s="1">
        <v>652</v>
      </c>
      <c r="L709" t="s" s="1">
        <v>567</v>
      </c>
      <c r="M709" t="n" s="5">
        <v>5250.0</v>
      </c>
      <c r="N709" t="n" s="7">
        <v>44718.0</v>
      </c>
      <c r="O709" t="n" s="7">
        <v>44796.0</v>
      </c>
      <c r="P709" t="s" s="1">
        <v>3259</v>
      </c>
    </row>
    <row r="710" spans="1:16">
      <c r="A710" t="n" s="4">
        <v>706</v>
      </c>
      <c r="B710" s="2">
        <f>HYPERLINK("https://my.zakupki.prom.ua/remote/dispatcher/state_purchase_view/36396922", "UA-2022-06-16-003416-a")</f>
        <v/>
      </c>
      <c r="C710" t="s" s="2">
        <v>2890</v>
      </c>
      <c r="D710" s="2">
        <f>HYPERLINK("https://my.zakupki.prom.ua/remote/dispatcher/state_contracting_view/13510395", "UA-2022-06-16-003416-a-b1")</f>
        <v/>
      </c>
      <c r="E710" t="s" s="1">
        <v>1366</v>
      </c>
      <c r="F710" t="s" s="1">
        <v>2396</v>
      </c>
      <c r="G710" t="s" s="1">
        <v>3177</v>
      </c>
      <c r="H710" t="s" s="1">
        <v>650</v>
      </c>
      <c r="I710" t="s" s="1">
        <v>2017</v>
      </c>
      <c r="J710" t="s" s="1">
        <v>3138</v>
      </c>
      <c r="K710" t="s" s="1">
        <v>720</v>
      </c>
      <c r="L710" t="s" s="1">
        <v>3186</v>
      </c>
      <c r="M710" t="n" s="5">
        <v>15622.0</v>
      </c>
      <c r="N710" t="n" s="7">
        <v>44728.0</v>
      </c>
      <c r="O710" t="n" s="7">
        <v>44796.0</v>
      </c>
      <c r="P710" t="s" s="1">
        <v>3259</v>
      </c>
    </row>
    <row r="711" spans="1:16">
      <c r="A711" t="n" s="4">
        <v>707</v>
      </c>
      <c r="B711" s="2">
        <f>HYPERLINK("https://my.zakupki.prom.ua/remote/dispatcher/state_purchase_view/36348076", "UA-2022-06-10-004063-a")</f>
        <v/>
      </c>
      <c r="C711" t="s" s="2">
        <v>2890</v>
      </c>
      <c r="D711" s="2">
        <f>HYPERLINK("https://my.zakupki.prom.ua/remote/dispatcher/state_contracting_view/13485257", "UA-2022-06-10-004063-a-b1")</f>
        <v/>
      </c>
      <c r="E711" t="s" s="1">
        <v>1633</v>
      </c>
      <c r="F711" t="s" s="1">
        <v>2537</v>
      </c>
      <c r="G711" t="s" s="1">
        <v>2537</v>
      </c>
      <c r="H711" t="s" s="1">
        <v>784</v>
      </c>
      <c r="I711" t="s" s="1">
        <v>2017</v>
      </c>
      <c r="J711" t="s" s="1">
        <v>2016</v>
      </c>
      <c r="K711" t="s" s="1">
        <v>474</v>
      </c>
      <c r="L711" t="s" s="1">
        <v>602</v>
      </c>
      <c r="M711" t="n" s="5">
        <v>6072.0</v>
      </c>
      <c r="N711" t="n" s="7">
        <v>44722.0</v>
      </c>
      <c r="O711" t="n" s="7">
        <v>44796.0</v>
      </c>
      <c r="P711" t="s" s="1">
        <v>3259</v>
      </c>
    </row>
    <row r="712" spans="1:16">
      <c r="A712" t="n" s="4">
        <v>708</v>
      </c>
      <c r="B712" s="2">
        <f>HYPERLINK("https://my.zakupki.prom.ua/remote/dispatcher/state_purchase_view/36350133", "UA-2022-06-10-005162-a")</f>
        <v/>
      </c>
      <c r="C712" t="s" s="2">
        <v>2890</v>
      </c>
      <c r="D712" s="2">
        <f>HYPERLINK("https://my.zakupki.prom.ua/remote/dispatcher/state_contracting_view/13486689", "UA-2022-06-10-005162-a-b1")</f>
        <v/>
      </c>
      <c r="E712" t="s" s="1">
        <v>815</v>
      </c>
      <c r="F712" t="s" s="1">
        <v>2507</v>
      </c>
      <c r="G712" t="s" s="1">
        <v>2507</v>
      </c>
      <c r="H712" t="s" s="1">
        <v>683</v>
      </c>
      <c r="I712" t="s" s="1">
        <v>2017</v>
      </c>
      <c r="J712" t="s" s="1">
        <v>2016</v>
      </c>
      <c r="K712" t="s" s="1">
        <v>474</v>
      </c>
      <c r="L712" t="s" s="1">
        <v>597</v>
      </c>
      <c r="M712" t="n" s="5">
        <v>33354.0</v>
      </c>
      <c r="N712" t="n" s="7">
        <v>44722.0</v>
      </c>
      <c r="O712" t="n" s="7">
        <v>44796.0</v>
      </c>
      <c r="P712" t="s" s="1">
        <v>3259</v>
      </c>
    </row>
    <row r="713" spans="1:16">
      <c r="A713" t="n" s="4">
        <v>709</v>
      </c>
      <c r="B713" s="2">
        <f>HYPERLINK("https://my.zakupki.prom.ua/remote/dispatcher/state_purchase_view/36910628", "UA-2022-08-03-005940-a")</f>
        <v/>
      </c>
      <c r="C713" t="s" s="2">
        <v>2890</v>
      </c>
      <c r="D713" s="2">
        <f>HYPERLINK("https://my.zakupki.prom.ua/remote/dispatcher/state_contracting_view/13757341", "UA-2022-08-03-005940-a-b1")</f>
        <v/>
      </c>
      <c r="E713" t="s" s="1">
        <v>201</v>
      </c>
      <c r="F713" t="s" s="1">
        <v>2397</v>
      </c>
      <c r="G713" t="s" s="1">
        <v>3222</v>
      </c>
      <c r="H713" t="s" s="1">
        <v>650</v>
      </c>
      <c r="I713" t="s" s="1">
        <v>2017</v>
      </c>
      <c r="J713" t="s" s="1">
        <v>3113</v>
      </c>
      <c r="K713" t="s" s="1">
        <v>398</v>
      </c>
      <c r="L713" t="s" s="1">
        <v>953</v>
      </c>
      <c r="M713" t="n" s="5">
        <v>27673.95</v>
      </c>
      <c r="N713" t="n" s="7">
        <v>44776.0</v>
      </c>
      <c r="O713" t="n" s="7">
        <v>44796.0</v>
      </c>
      <c r="P713" t="s" s="1">
        <v>3259</v>
      </c>
    </row>
    <row r="714" spans="1:16">
      <c r="A714" t="n" s="4">
        <v>710</v>
      </c>
      <c r="B714" s="2">
        <f>HYPERLINK("https://my.zakupki.prom.ua/remote/dispatcher/state_purchase_view/36772251", "UA-2022-07-22-002096-a")</f>
        <v/>
      </c>
      <c r="C714" t="s" s="2">
        <v>2890</v>
      </c>
      <c r="D714" s="2">
        <f>HYPERLINK("https://my.zakupki.prom.ua/remote/dispatcher/state_contracting_view/13691784", "UA-2022-07-22-002096-a-b1")</f>
        <v/>
      </c>
      <c r="E714" t="s" s="1">
        <v>1203</v>
      </c>
      <c r="F714" t="s" s="1">
        <v>2267</v>
      </c>
      <c r="G714" t="s" s="1">
        <v>2024</v>
      </c>
      <c r="H714" t="s" s="1">
        <v>413</v>
      </c>
      <c r="I714" t="s" s="1">
        <v>2017</v>
      </c>
      <c r="J714" t="s" s="1">
        <v>2016</v>
      </c>
      <c r="K714" t="s" s="1">
        <v>474</v>
      </c>
      <c r="L714" t="s" s="1">
        <v>891</v>
      </c>
      <c r="M714" t="n" s="5">
        <v>25180.0</v>
      </c>
      <c r="N714" t="n" s="7">
        <v>44764.0</v>
      </c>
      <c r="O714" t="n" s="7">
        <v>44796.0</v>
      </c>
      <c r="P714" t="s" s="1">
        <v>3259</v>
      </c>
    </row>
    <row r="715" spans="1:16">
      <c r="A715" t="n" s="4">
        <v>711</v>
      </c>
      <c r="B715" s="2">
        <f>HYPERLINK("https://my.zakupki.prom.ua/remote/dispatcher/state_purchase_view/36841913", "UA-2022-07-28-003255-a")</f>
        <v/>
      </c>
      <c r="C715" t="s" s="2">
        <v>2890</v>
      </c>
      <c r="D715" s="2">
        <f>HYPERLINK("https://my.zakupki.prom.ua/remote/dispatcher/state_contracting_view/13724478", "UA-2022-07-28-003255-a-b1")</f>
        <v/>
      </c>
      <c r="E715" t="s" s="1">
        <v>1413</v>
      </c>
      <c r="F715" t="s" s="1">
        <v>2378</v>
      </c>
      <c r="G715" t="s" s="1">
        <v>2962</v>
      </c>
      <c r="H715" t="s" s="1">
        <v>642</v>
      </c>
      <c r="I715" t="s" s="1">
        <v>2017</v>
      </c>
      <c r="J715" t="s" s="1">
        <v>2839</v>
      </c>
      <c r="K715" t="s" s="1">
        <v>318</v>
      </c>
      <c r="L715" t="s" s="1">
        <v>913</v>
      </c>
      <c r="M715" t="n" s="5">
        <v>46224.0</v>
      </c>
      <c r="N715" t="n" s="7">
        <v>44770.0</v>
      </c>
      <c r="O715" t="n" s="7">
        <v>44796.0</v>
      </c>
      <c r="P715" t="s" s="1">
        <v>3259</v>
      </c>
    </row>
    <row r="716" spans="1:16">
      <c r="A716" t="n" s="4">
        <v>712</v>
      </c>
      <c r="B716" s="2">
        <f>HYPERLINK("https://my.zakupki.prom.ua/remote/dispatcher/state_purchase_view/37022365", "UA-2022-08-11-002991-a")</f>
        <v/>
      </c>
      <c r="C716" t="s" s="2">
        <v>2890</v>
      </c>
      <c r="D716" s="2">
        <f>HYPERLINK("https://my.zakupki.prom.ua/remote/dispatcher/state_contracting_view/13811996", "UA-2022-08-11-002991-a-b1")</f>
        <v/>
      </c>
      <c r="E716" t="s" s="1">
        <v>433</v>
      </c>
      <c r="F716" t="s" s="1">
        <v>2322</v>
      </c>
      <c r="G716" t="s" s="1">
        <v>2322</v>
      </c>
      <c r="H716" t="s" s="1">
        <v>636</v>
      </c>
      <c r="I716" t="s" s="1">
        <v>2017</v>
      </c>
      <c r="J716" t="s" s="1">
        <v>3098</v>
      </c>
      <c r="K716" t="s" s="1">
        <v>652</v>
      </c>
      <c r="L716" t="s" s="1">
        <v>231</v>
      </c>
      <c r="M716" t="n" s="5">
        <v>23415.0</v>
      </c>
      <c r="N716" t="n" s="7">
        <v>44782.0</v>
      </c>
      <c r="O716" t="n" s="7">
        <v>44796.0</v>
      </c>
      <c r="P716" t="s" s="1">
        <v>3259</v>
      </c>
    </row>
    <row r="717" spans="1:16">
      <c r="A717" t="n" s="4">
        <v>713</v>
      </c>
      <c r="B717" s="2">
        <f>HYPERLINK("https://my.zakupki.prom.ua/remote/dispatcher/state_purchase_view/36426071", "UA-2022-06-20-004915-a")</f>
        <v/>
      </c>
      <c r="C717" t="s" s="2">
        <v>2890</v>
      </c>
      <c r="D717" s="2">
        <f>HYPERLINK("https://my.zakupki.prom.ua/remote/dispatcher/state_contracting_view/13525250", "UA-2022-06-20-004915-a-b1")</f>
        <v/>
      </c>
      <c r="E717" t="s" s="1">
        <v>115</v>
      </c>
      <c r="F717" t="s" s="1">
        <v>2400</v>
      </c>
      <c r="G717" t="s" s="1">
        <v>1546</v>
      </c>
      <c r="H717" t="s" s="1">
        <v>650</v>
      </c>
      <c r="I717" t="s" s="1">
        <v>2017</v>
      </c>
      <c r="J717" t="s" s="1">
        <v>2921</v>
      </c>
      <c r="K717" t="s" s="1">
        <v>571</v>
      </c>
      <c r="L717" t="s" s="1">
        <v>665</v>
      </c>
      <c r="M717" t="n" s="5">
        <v>72722.17</v>
      </c>
      <c r="N717" t="n" s="7">
        <v>44729.0</v>
      </c>
      <c r="O717" t="n" s="7">
        <v>44796.0</v>
      </c>
      <c r="P717" t="s" s="1">
        <v>3259</v>
      </c>
    </row>
    <row r="718" spans="1:16">
      <c r="A718" t="n" s="4">
        <v>714</v>
      </c>
      <c r="B718" s="2">
        <f>HYPERLINK("https://my.zakupki.prom.ua/remote/dispatcher/state_purchase_view/36434080", "UA-2022-06-21-001889-a")</f>
        <v/>
      </c>
      <c r="C718" t="s" s="2">
        <v>2890</v>
      </c>
      <c r="D718" s="2">
        <f>HYPERLINK("https://my.zakupki.prom.ua/remote/dispatcher/state_contracting_view/13529216", "UA-2022-06-21-001889-a-b1")</f>
        <v/>
      </c>
      <c r="E718" t="s" s="1">
        <v>1243</v>
      </c>
      <c r="F718" t="s" s="1">
        <v>2386</v>
      </c>
      <c r="G718" t="s" s="1">
        <v>3174</v>
      </c>
      <c r="H718" t="s" s="1">
        <v>642</v>
      </c>
      <c r="I718" t="s" s="1">
        <v>2017</v>
      </c>
      <c r="J718" t="s" s="1">
        <v>3125</v>
      </c>
      <c r="K718" t="s" s="1">
        <v>690</v>
      </c>
      <c r="L718" t="s" s="1">
        <v>677</v>
      </c>
      <c r="M718" t="n" s="5">
        <v>31310.34</v>
      </c>
      <c r="N718" t="n" s="7">
        <v>44733.0</v>
      </c>
      <c r="O718" t="n" s="7">
        <v>44796.0</v>
      </c>
      <c r="P718" t="s" s="1">
        <v>3259</v>
      </c>
    </row>
    <row r="719" spans="1:16">
      <c r="A719" t="n" s="4">
        <v>715</v>
      </c>
      <c r="B719" s="2">
        <f>HYPERLINK("https://my.zakupki.prom.ua/remote/dispatcher/state_purchase_view/36873852", "UA-2022-08-01-005259-a")</f>
        <v/>
      </c>
      <c r="C719" t="s" s="2">
        <v>2890</v>
      </c>
      <c r="D719" s="2">
        <f>HYPERLINK("https://my.zakupki.prom.ua/remote/dispatcher/state_contracting_view/13739752", "UA-2022-08-01-005259-a-b1")</f>
        <v/>
      </c>
      <c r="E719" t="s" s="1">
        <v>1600</v>
      </c>
      <c r="F719" t="s" s="1">
        <v>2157</v>
      </c>
      <c r="G719" t="s" s="1">
        <v>1928</v>
      </c>
      <c r="H719" t="s" s="1">
        <v>642</v>
      </c>
      <c r="I719" t="s" s="1">
        <v>2017</v>
      </c>
      <c r="J719" t="s" s="1">
        <v>3118</v>
      </c>
      <c r="K719" t="s" s="1">
        <v>343</v>
      </c>
      <c r="L719" t="s" s="1">
        <v>25</v>
      </c>
      <c r="M719" t="n" s="5">
        <v>535.0</v>
      </c>
      <c r="N719" t="n" s="7">
        <v>44774.0</v>
      </c>
      <c r="O719" t="n" s="7">
        <v>44796.0</v>
      </c>
      <c r="P719" t="s" s="1">
        <v>3259</v>
      </c>
    </row>
    <row r="720" spans="1:16">
      <c r="A720" t="n" s="4">
        <v>716</v>
      </c>
      <c r="B720" s="2">
        <f>HYPERLINK("https://my.zakupki.prom.ua/remote/dispatcher/state_purchase_view/37024118", "UA-2022-08-11-003904-a")</f>
        <v/>
      </c>
      <c r="C720" t="s" s="2">
        <v>2890</v>
      </c>
      <c r="D720" s="2">
        <f>HYPERLINK("https://my.zakupki.prom.ua/remote/dispatcher/state_contracting_view/13810856", "UA-2022-08-11-003904-a-b1")</f>
        <v/>
      </c>
      <c r="E720" t="s" s="1">
        <v>1814</v>
      </c>
      <c r="F720" t="s" s="1">
        <v>2331</v>
      </c>
      <c r="G720" t="s" s="1">
        <v>2331</v>
      </c>
      <c r="H720" t="s" s="1">
        <v>638</v>
      </c>
      <c r="I720" t="s" s="1">
        <v>2017</v>
      </c>
      <c r="J720" t="s" s="1">
        <v>3125</v>
      </c>
      <c r="K720" t="s" s="1">
        <v>690</v>
      </c>
      <c r="L720" t="s" s="1">
        <v>976</v>
      </c>
      <c r="M720" t="n" s="5">
        <v>3000.0</v>
      </c>
      <c r="N720" t="n" s="7">
        <v>44783.0</v>
      </c>
      <c r="O720" t="n" s="7">
        <v>44796.0</v>
      </c>
      <c r="P720" t="s" s="1">
        <v>3259</v>
      </c>
    </row>
    <row r="721" spans="1:16">
      <c r="A721" t="n" s="4">
        <v>717</v>
      </c>
      <c r="B721" s="2">
        <f>HYPERLINK("https://my.zakupki.prom.ua/remote/dispatcher/state_purchase_view/36624055", "UA-2022-07-11-001025-a")</f>
        <v/>
      </c>
      <c r="C721" t="s" s="2">
        <v>2890</v>
      </c>
      <c r="D721" s="2">
        <f>HYPERLINK("https://my.zakupki.prom.ua/remote/dispatcher/state_contracting_view/13624107", "UA-2022-07-11-001025-a-b1")</f>
        <v/>
      </c>
      <c r="E721" t="s" s="1">
        <v>1134</v>
      </c>
      <c r="F721" t="s" s="1">
        <v>2261</v>
      </c>
      <c r="G721" t="s" s="1">
        <v>3018</v>
      </c>
      <c r="H721" t="s" s="1">
        <v>411</v>
      </c>
      <c r="I721" t="s" s="1">
        <v>2017</v>
      </c>
      <c r="J721" t="s" s="1">
        <v>2923</v>
      </c>
      <c r="K721" t="s" s="1">
        <v>545</v>
      </c>
      <c r="L721" t="s" s="1">
        <v>1185</v>
      </c>
      <c r="M721" t="n" s="5">
        <v>9310.0</v>
      </c>
      <c r="N721" t="n" s="7">
        <v>44750.0</v>
      </c>
      <c r="O721" t="n" s="7">
        <v>44796.0</v>
      </c>
      <c r="P721" t="s" s="1">
        <v>3259</v>
      </c>
    </row>
    <row r="722" spans="1:16">
      <c r="A722" t="n" s="4">
        <v>718</v>
      </c>
      <c r="B722" s="2">
        <f>HYPERLINK("https://my.zakupki.prom.ua/remote/dispatcher/state_purchase_view/36643715", "UA-2022-07-12-002801-a")</f>
        <v/>
      </c>
      <c r="C722" t="s" s="2">
        <v>2890</v>
      </c>
      <c r="D722" s="2">
        <f>HYPERLINK("https://my.zakupki.prom.ua/remote/dispatcher/state_contracting_view/13632264", "UA-2022-07-12-002801-a-b1")</f>
        <v/>
      </c>
      <c r="E722" t="s" s="1">
        <v>1165</v>
      </c>
      <c r="F722" t="s" s="1">
        <v>2135</v>
      </c>
      <c r="G722" t="s" s="1">
        <v>3155</v>
      </c>
      <c r="H722" t="s" s="1">
        <v>636</v>
      </c>
      <c r="I722" t="s" s="1">
        <v>2017</v>
      </c>
      <c r="J722" t="s" s="1">
        <v>3113</v>
      </c>
      <c r="K722" t="s" s="1">
        <v>398</v>
      </c>
      <c r="L722" t="s" s="1">
        <v>731</v>
      </c>
      <c r="M722" t="n" s="5">
        <v>9627.0</v>
      </c>
      <c r="N722" t="n" s="7">
        <v>44753.0</v>
      </c>
      <c r="O722" t="n" s="7">
        <v>44796.0</v>
      </c>
      <c r="P722" t="s" s="1">
        <v>3259</v>
      </c>
    </row>
    <row r="723" spans="1:16">
      <c r="A723" t="n" s="4">
        <v>719</v>
      </c>
      <c r="B723" s="2">
        <f>HYPERLINK("https://my.zakupki.prom.ua/remote/dispatcher/state_purchase_view/36488489", "UA-2022-06-27-001618-a")</f>
        <v/>
      </c>
      <c r="C723" t="s" s="2">
        <v>2890</v>
      </c>
      <c r="D723" s="2">
        <f>HYPERLINK("https://my.zakupki.prom.ua/remote/dispatcher/state_contracting_view/13557065", "UA-2022-06-27-001618-a-b1")</f>
        <v/>
      </c>
      <c r="E723" t="s" s="1">
        <v>838</v>
      </c>
      <c r="F723" t="s" s="1">
        <v>2142</v>
      </c>
      <c r="G723" t="s" s="1">
        <v>3170</v>
      </c>
      <c r="H723" t="s" s="1">
        <v>641</v>
      </c>
      <c r="I723" t="s" s="1">
        <v>2017</v>
      </c>
      <c r="J723" t="s" s="1">
        <v>3125</v>
      </c>
      <c r="K723" t="s" s="1">
        <v>690</v>
      </c>
      <c r="L723" t="s" s="1">
        <v>693</v>
      </c>
      <c r="M723" t="n" s="5">
        <v>1298.7</v>
      </c>
      <c r="N723" t="n" s="7">
        <v>44739.0</v>
      </c>
      <c r="O723" t="n" s="7">
        <v>44796.0</v>
      </c>
      <c r="P723" t="s" s="1">
        <v>3259</v>
      </c>
    </row>
    <row r="724" spans="1:16">
      <c r="A724" t="n" s="4">
        <v>720</v>
      </c>
      <c r="B724" s="2">
        <f>HYPERLINK("https://my.zakupki.prom.ua/remote/dispatcher/state_purchase_view/36429684", "UA-2022-06-20-006876-a")</f>
        <v/>
      </c>
      <c r="C724" t="s" s="2">
        <v>2890</v>
      </c>
      <c r="D724" s="2">
        <f>HYPERLINK("https://my.zakupki.prom.ua/remote/dispatcher/state_contracting_view/13527151", "UA-2022-06-20-006876-a-b1")</f>
        <v/>
      </c>
      <c r="E724" t="s" s="1">
        <v>78</v>
      </c>
      <c r="F724" t="s" s="1">
        <v>2451</v>
      </c>
      <c r="G724" t="s" s="1">
        <v>1885</v>
      </c>
      <c r="H724" t="s" s="1">
        <v>650</v>
      </c>
      <c r="I724" t="s" s="1">
        <v>2017</v>
      </c>
      <c r="J724" t="s" s="1">
        <v>2923</v>
      </c>
      <c r="K724" t="s" s="1">
        <v>545</v>
      </c>
      <c r="L724" t="s" s="1">
        <v>1163</v>
      </c>
      <c r="M724" t="n" s="5">
        <v>221565.91</v>
      </c>
      <c r="N724" t="n" s="7">
        <v>44732.0</v>
      </c>
      <c r="O724" t="n" s="7">
        <v>44796.0</v>
      </c>
      <c r="P724" t="s" s="1">
        <v>3259</v>
      </c>
    </row>
    <row r="725" spans="1:16">
      <c r="A725" t="n" s="4">
        <v>721</v>
      </c>
      <c r="B725" s="2">
        <f>HYPERLINK("https://my.zakupki.prom.ua/remote/dispatcher/state_purchase_view/36838284", "UA-2022-07-28-001535-a")</f>
        <v/>
      </c>
      <c r="C725" t="s" s="2">
        <v>2890</v>
      </c>
      <c r="D725" s="2">
        <f>HYPERLINK("https://my.zakupki.prom.ua/remote/dispatcher/state_contracting_view/13722985", "UA-2022-07-28-001535-a-b1")</f>
        <v/>
      </c>
      <c r="E725" t="s" s="1">
        <v>1516</v>
      </c>
      <c r="F725" t="s" s="1">
        <v>2555</v>
      </c>
      <c r="G725" t="s" s="1">
        <v>2872</v>
      </c>
      <c r="H725" t="s" s="1">
        <v>874</v>
      </c>
      <c r="I725" t="s" s="1">
        <v>2017</v>
      </c>
      <c r="J725" t="s" s="1">
        <v>2839</v>
      </c>
      <c r="K725" t="s" s="1">
        <v>318</v>
      </c>
      <c r="L725" t="s" s="1">
        <v>909</v>
      </c>
      <c r="M725" t="n" s="5">
        <v>42890.0</v>
      </c>
      <c r="N725" t="n" s="7">
        <v>44770.0</v>
      </c>
      <c r="O725" t="n" s="7">
        <v>44796.0</v>
      </c>
      <c r="P725" t="s" s="1">
        <v>3259</v>
      </c>
    </row>
    <row r="726" spans="1:16">
      <c r="A726" t="n" s="4">
        <v>722</v>
      </c>
      <c r="B726" s="2">
        <f>HYPERLINK("https://my.zakupki.prom.ua/remote/dispatcher/state_purchase_view/36866333", "UA-2022-08-01-001344-a")</f>
        <v/>
      </c>
      <c r="C726" t="s" s="2">
        <v>2890</v>
      </c>
      <c r="D726" s="2">
        <f>HYPERLINK("https://my.zakupki.prom.ua/remote/dispatcher/state_contracting_view/13736193", "UA-2022-08-01-001344-a-b1")</f>
        <v/>
      </c>
      <c r="E726" t="s" s="1">
        <v>1712</v>
      </c>
      <c r="F726" t="s" s="1">
        <v>2327</v>
      </c>
      <c r="G726" t="s" s="1">
        <v>2046</v>
      </c>
      <c r="H726" t="s" s="1">
        <v>636</v>
      </c>
      <c r="I726" t="s" s="1">
        <v>2017</v>
      </c>
      <c r="J726" t="s" s="1">
        <v>2857</v>
      </c>
      <c r="K726" t="s" s="1">
        <v>604</v>
      </c>
      <c r="L726" t="s" s="1">
        <v>941</v>
      </c>
      <c r="M726" t="n" s="5">
        <v>4223.52</v>
      </c>
      <c r="N726" t="n" s="7">
        <v>44774.0</v>
      </c>
      <c r="O726" t="n" s="7">
        <v>44796.0</v>
      </c>
      <c r="P726" t="s" s="1">
        <v>3259</v>
      </c>
    </row>
    <row r="727" spans="1:16">
      <c r="A727" t="n" s="4">
        <v>723</v>
      </c>
      <c r="B727" s="2">
        <f>HYPERLINK("https://my.zakupki.prom.ua/remote/dispatcher/state_purchase_view/36348181", "UA-2022-06-10-004134-a")</f>
        <v/>
      </c>
      <c r="C727" t="s" s="2">
        <v>2890</v>
      </c>
      <c r="D727" s="2">
        <f>HYPERLINK("https://my.zakupki.prom.ua/remote/dispatcher/state_contracting_view/13485357", "UA-2022-06-10-004134-a-b1")</f>
        <v/>
      </c>
      <c r="E727" t="s" s="1">
        <v>1567</v>
      </c>
      <c r="F727" t="s" s="1">
        <v>2232</v>
      </c>
      <c r="G727" t="s" s="1">
        <v>2232</v>
      </c>
      <c r="H727" t="s" s="1">
        <v>274</v>
      </c>
      <c r="I727" t="s" s="1">
        <v>2017</v>
      </c>
      <c r="J727" t="s" s="1">
        <v>2016</v>
      </c>
      <c r="K727" t="s" s="1">
        <v>474</v>
      </c>
      <c r="L727" t="s" s="1">
        <v>605</v>
      </c>
      <c r="M727" t="n" s="5">
        <v>1380.0</v>
      </c>
      <c r="N727" t="n" s="7">
        <v>44722.0</v>
      </c>
      <c r="O727" t="n" s="7">
        <v>44796.0</v>
      </c>
      <c r="P727" t="s" s="1">
        <v>3259</v>
      </c>
    </row>
    <row r="728" spans="1:16">
      <c r="A728" t="n" s="4">
        <v>724</v>
      </c>
      <c r="B728" s="2">
        <f>HYPERLINK("https://my.zakupki.prom.ua/remote/dispatcher/state_purchase_view/36906523", "UA-2022-08-03-003781-a")</f>
        <v/>
      </c>
      <c r="C728" t="s" s="2">
        <v>2890</v>
      </c>
      <c r="D728" s="2">
        <f>HYPERLINK("https://my.zakupki.prom.ua/remote/dispatcher/state_contracting_view/13755286", "UA-2022-08-03-003781-a-b1")</f>
        <v/>
      </c>
      <c r="E728" t="s" s="1">
        <v>1496</v>
      </c>
      <c r="F728" t="s" s="1">
        <v>2393</v>
      </c>
      <c r="G728" t="s" s="1">
        <v>2062</v>
      </c>
      <c r="H728" t="s" s="1">
        <v>650</v>
      </c>
      <c r="I728" t="s" s="1">
        <v>2017</v>
      </c>
      <c r="J728" t="s" s="1">
        <v>2923</v>
      </c>
      <c r="K728" t="s" s="1">
        <v>545</v>
      </c>
      <c r="L728" t="s" s="1">
        <v>1209</v>
      </c>
      <c r="M728" t="n" s="5">
        <v>49118.61</v>
      </c>
      <c r="N728" t="n" s="7">
        <v>44775.0</v>
      </c>
      <c r="O728" t="n" s="7">
        <v>44796.0</v>
      </c>
      <c r="P728" t="s" s="1">
        <v>3259</v>
      </c>
    </row>
    <row r="729" spans="1:16">
      <c r="A729" t="n" s="4">
        <v>725</v>
      </c>
      <c r="B729" s="2">
        <f>HYPERLINK("https://my.zakupki.prom.ua/remote/dispatcher/state_purchase_view/36926774", "UA-2022-08-04-004193-a")</f>
        <v/>
      </c>
      <c r="C729" t="s" s="2">
        <v>2890</v>
      </c>
      <c r="D729" s="2">
        <f>HYPERLINK("https://my.zakupki.prom.ua/remote/dispatcher/state_contracting_view/13764863", "UA-2022-08-04-004193-a-b1")</f>
        <v/>
      </c>
      <c r="E729" t="s" s="1">
        <v>1679</v>
      </c>
      <c r="F729" t="s" s="1">
        <v>2513</v>
      </c>
      <c r="G729" t="s" s="1">
        <v>3149</v>
      </c>
      <c r="H729" t="s" s="1">
        <v>752</v>
      </c>
      <c r="I729" t="s" s="1">
        <v>2017</v>
      </c>
      <c r="J729" t="s" s="1">
        <v>3125</v>
      </c>
      <c r="K729" t="s" s="1">
        <v>690</v>
      </c>
      <c r="L729" t="s" s="1">
        <v>959</v>
      </c>
      <c r="M729" t="n" s="5">
        <v>14380.8</v>
      </c>
      <c r="N729" t="n" s="7">
        <v>44777.0</v>
      </c>
      <c r="O729" t="n" s="7">
        <v>44796.0</v>
      </c>
      <c r="P729" t="s" s="1">
        <v>3259</v>
      </c>
    </row>
    <row r="730" spans="1:16">
      <c r="A730" t="n" s="4">
        <v>726</v>
      </c>
      <c r="B730" s="2">
        <f>HYPERLINK("https://my.zakupki.prom.ua/remote/dispatcher/state_purchase_view/37120517", "UA-2022-08-18-000830-a")</f>
        <v/>
      </c>
      <c r="C730" t="s" s="2">
        <v>2890</v>
      </c>
      <c r="D730" s="2">
        <f>HYPERLINK("https://my.zakupki.prom.ua/remote/dispatcher/state_contracting_view/13856754", "UA-2022-08-18-000830-a-b1")</f>
        <v/>
      </c>
      <c r="E730" t="s" s="1">
        <v>1810</v>
      </c>
      <c r="F730" t="s" s="1">
        <v>2334</v>
      </c>
      <c r="G730" t="s" s="1">
        <v>2027</v>
      </c>
      <c r="H730" t="s" s="1">
        <v>638</v>
      </c>
      <c r="I730" t="s" s="1">
        <v>2017</v>
      </c>
      <c r="J730" t="s" s="1">
        <v>3125</v>
      </c>
      <c r="K730" t="s" s="1">
        <v>690</v>
      </c>
      <c r="L730" t="s" s="1">
        <v>1004</v>
      </c>
      <c r="M730" t="n" s="5">
        <v>2144.39</v>
      </c>
      <c r="N730" t="n" s="7">
        <v>44790.0</v>
      </c>
      <c r="O730" t="n" s="7">
        <v>44796.0</v>
      </c>
      <c r="P730" t="s" s="1">
        <v>3259</v>
      </c>
    </row>
    <row r="731" spans="1:16">
      <c r="A731" t="n" s="4">
        <v>727</v>
      </c>
      <c r="B731" s="2">
        <f>HYPERLINK("https://my.zakupki.prom.ua/remote/dispatcher/state_purchase_view/36819810", "UA-2022-07-27-000719-a")</f>
        <v/>
      </c>
      <c r="C731" t="s" s="2">
        <v>2890</v>
      </c>
      <c r="D731" s="2">
        <f>HYPERLINK("https://my.zakupki.prom.ua/remote/dispatcher/state_contracting_view/13714380", "UA-2022-07-27-000719-a-b1")</f>
        <v/>
      </c>
      <c r="E731" t="s" s="1">
        <v>284</v>
      </c>
      <c r="F731" t="s" s="1">
        <v>2144</v>
      </c>
      <c r="G731" t="s" s="1">
        <v>2052</v>
      </c>
      <c r="H731" t="s" s="1">
        <v>650</v>
      </c>
      <c r="I731" t="s" s="1">
        <v>2017</v>
      </c>
      <c r="J731" t="s" s="1">
        <v>3124</v>
      </c>
      <c r="K731" t="s" s="1">
        <v>337</v>
      </c>
      <c r="L731" t="s" s="1">
        <v>421</v>
      </c>
      <c r="M731" t="n" s="5">
        <v>21389.86</v>
      </c>
      <c r="N731" t="n" s="7">
        <v>44769.0</v>
      </c>
      <c r="O731" t="n" s="7">
        <v>44796.0</v>
      </c>
      <c r="P731" t="s" s="1">
        <v>3259</v>
      </c>
    </row>
    <row r="732" spans="1:16">
      <c r="A732" t="n" s="4">
        <v>728</v>
      </c>
      <c r="B732" s="2">
        <f>HYPERLINK("https://my.zakupki.prom.ua/remote/dispatcher/state_purchase_view/36927619", "UA-2022-08-04-004631-a")</f>
        <v/>
      </c>
      <c r="C732" t="s" s="2">
        <v>2890</v>
      </c>
      <c r="D732" s="2">
        <f>HYPERLINK("https://my.zakupki.prom.ua/remote/dispatcher/state_contracting_view/13765340", "UA-2022-08-04-004631-a-b1")</f>
        <v/>
      </c>
      <c r="E732" t="s" s="1">
        <v>1801</v>
      </c>
      <c r="F732" t="s" s="1">
        <v>2374</v>
      </c>
      <c r="G732" t="s" s="1">
        <v>1935</v>
      </c>
      <c r="H732" t="s" s="1">
        <v>642</v>
      </c>
      <c r="I732" t="s" s="1">
        <v>2017</v>
      </c>
      <c r="J732" t="s" s="1">
        <v>3125</v>
      </c>
      <c r="K732" t="s" s="1">
        <v>690</v>
      </c>
      <c r="L732" t="s" s="1">
        <v>963</v>
      </c>
      <c r="M732" t="n" s="5">
        <v>5620.0</v>
      </c>
      <c r="N732" t="n" s="7">
        <v>44777.0</v>
      </c>
      <c r="O732" t="n" s="7">
        <v>44796.0</v>
      </c>
      <c r="P732" t="s" s="1">
        <v>3259</v>
      </c>
    </row>
    <row r="733" spans="1:16">
      <c r="A733" t="n" s="4">
        <v>729</v>
      </c>
      <c r="B733" s="2">
        <f>HYPERLINK("https://my.zakupki.prom.ua/remote/dispatcher/state_purchase_view/36874270", "UA-2022-08-01-005483-a")</f>
        <v/>
      </c>
      <c r="C733" t="s" s="2">
        <v>2890</v>
      </c>
      <c r="D733" s="2">
        <f>HYPERLINK("https://my.zakupki.prom.ua/remote/dispatcher/state_contracting_view/13739972", "UA-2022-08-01-005483-a-b1")</f>
        <v/>
      </c>
      <c r="E733" t="s" s="1">
        <v>662</v>
      </c>
      <c r="F733" t="s" s="1">
        <v>2127</v>
      </c>
      <c r="G733" t="s" s="1">
        <v>2952</v>
      </c>
      <c r="H733" t="s" s="1">
        <v>642</v>
      </c>
      <c r="I733" t="s" s="1">
        <v>2017</v>
      </c>
      <c r="J733" t="s" s="1">
        <v>3179</v>
      </c>
      <c r="K733" t="s" s="1">
        <v>457</v>
      </c>
      <c r="L733" t="s" s="1">
        <v>944</v>
      </c>
      <c r="M733" t="n" s="5">
        <v>5850.76</v>
      </c>
      <c r="N733" t="n" s="7">
        <v>44774.0</v>
      </c>
      <c r="O733" t="n" s="7">
        <v>44796.0</v>
      </c>
      <c r="P733" t="s" s="1">
        <v>3259</v>
      </c>
    </row>
    <row r="734" spans="1:16">
      <c r="A734" t="n" s="4">
        <v>730</v>
      </c>
      <c r="B734" s="2">
        <f>HYPERLINK("https://my.zakupki.prom.ua/remote/dispatcher/state_purchase_view/37120283", "UA-2022-08-18-000726-a")</f>
        <v/>
      </c>
      <c r="C734" t="s" s="2">
        <v>2890</v>
      </c>
      <c r="D734" s="2">
        <f>HYPERLINK("https://my.zakupki.prom.ua/remote/dispatcher/state_contracting_view/13856687", "UA-2022-08-18-000726-a-b1")</f>
        <v/>
      </c>
      <c r="E734" t="s" s="1">
        <v>954</v>
      </c>
      <c r="F734" t="s" s="1">
        <v>2335</v>
      </c>
      <c r="G734" t="s" s="1">
        <v>2059</v>
      </c>
      <c r="H734" t="s" s="1">
        <v>638</v>
      </c>
      <c r="I734" t="s" s="1">
        <v>2017</v>
      </c>
      <c r="J734" t="s" s="1">
        <v>3125</v>
      </c>
      <c r="K734" t="s" s="1">
        <v>690</v>
      </c>
      <c r="L734" t="s" s="1">
        <v>1003</v>
      </c>
      <c r="M734" t="n" s="5">
        <v>30070.0</v>
      </c>
      <c r="N734" t="n" s="7">
        <v>44790.0</v>
      </c>
      <c r="O734" t="n" s="7">
        <v>44796.0</v>
      </c>
      <c r="P734" t="s" s="1">
        <v>3259</v>
      </c>
    </row>
    <row r="735" spans="1:16">
      <c r="A735" t="n" s="4">
        <v>731</v>
      </c>
      <c r="B735" s="2">
        <f>HYPERLINK("https://my.zakupki.prom.ua/remote/dispatcher/state_purchase_view/36348600", "UA-2022-06-10-004353-a")</f>
        <v/>
      </c>
      <c r="C735" t="s" s="2">
        <v>2890</v>
      </c>
      <c r="D735" s="2">
        <f>HYPERLINK("https://my.zakupki.prom.ua/remote/dispatcher/state_contracting_view/13485693", "UA-2022-06-10-004353-a-b1")</f>
        <v/>
      </c>
      <c r="E735" t="s" s="1">
        <v>524</v>
      </c>
      <c r="F735" t="s" s="1">
        <v>2091</v>
      </c>
      <c r="G735" t="s" s="1">
        <v>3004</v>
      </c>
      <c r="H735" t="s" s="1">
        <v>413</v>
      </c>
      <c r="I735" t="s" s="1">
        <v>2017</v>
      </c>
      <c r="J735" t="s" s="1">
        <v>2016</v>
      </c>
      <c r="K735" t="s" s="1">
        <v>474</v>
      </c>
      <c r="L735" t="s" s="1">
        <v>596</v>
      </c>
      <c r="M735" t="n" s="5">
        <v>1980.0</v>
      </c>
      <c r="N735" t="n" s="7">
        <v>44722.0</v>
      </c>
      <c r="O735" t="n" s="7">
        <v>44796.0</v>
      </c>
      <c r="P735" t="s" s="1">
        <v>3259</v>
      </c>
    </row>
    <row r="736" spans="1:16">
      <c r="A736" t="n" s="4">
        <v>732</v>
      </c>
      <c r="B736" s="2">
        <f>HYPERLINK("https://my.zakupki.prom.ua/remote/dispatcher/state_purchase_view/36520061", "UA-2022-06-29-005518-a")</f>
        <v/>
      </c>
      <c r="C736" t="s" s="2">
        <v>2890</v>
      </c>
      <c r="D736" s="2">
        <f>HYPERLINK("https://my.zakupki.prom.ua/remote/dispatcher/state_contracting_view/13572163", "UA-2022-06-29-005518-a-b1")</f>
        <v/>
      </c>
      <c r="E736" t="s" s="1">
        <v>1110</v>
      </c>
      <c r="F736" t="s" s="1">
        <v>2141</v>
      </c>
      <c r="G736" t="s" s="1">
        <v>3169</v>
      </c>
      <c r="H736" t="s" s="1">
        <v>641</v>
      </c>
      <c r="I736" t="s" s="1">
        <v>2017</v>
      </c>
      <c r="J736" t="s" s="1">
        <v>3125</v>
      </c>
      <c r="K736" t="s" s="1">
        <v>690</v>
      </c>
      <c r="L736" t="s" s="1">
        <v>699</v>
      </c>
      <c r="M736" t="n" s="5">
        <v>5144.37</v>
      </c>
      <c r="N736" t="n" s="7">
        <v>44740.0</v>
      </c>
      <c r="O736" t="n" s="7">
        <v>44796.0</v>
      </c>
      <c r="P736" t="s" s="1">
        <v>3259</v>
      </c>
    </row>
    <row r="737" spans="1:16">
      <c r="A737" t="n" s="4">
        <v>733</v>
      </c>
      <c r="B737" s="2">
        <f>HYPERLINK("https://my.zakupki.prom.ua/remote/dispatcher/state_purchase_view/36071318", "UA-2022-05-06-000831-a")</f>
        <v/>
      </c>
      <c r="C737" t="s" s="2">
        <v>2890</v>
      </c>
      <c r="D737" s="2">
        <f>HYPERLINK("https://my.zakupki.prom.ua/remote/dispatcher/state_contracting_view/13343936", "UA-2022-05-06-000831-a-a1")</f>
        <v/>
      </c>
      <c r="E737" t="s" s="1">
        <v>1524</v>
      </c>
      <c r="F737" t="s" s="1">
        <v>2419</v>
      </c>
      <c r="G737" t="s" s="1">
        <v>2965</v>
      </c>
      <c r="H737" t="s" s="1">
        <v>650</v>
      </c>
      <c r="I737" t="s" s="1">
        <v>2017</v>
      </c>
      <c r="J737" t="s" s="1">
        <v>3113</v>
      </c>
      <c r="K737" t="s" s="1">
        <v>398</v>
      </c>
      <c r="L737" t="s" s="1">
        <v>448</v>
      </c>
      <c r="M737" t="n" s="5">
        <v>23270.64</v>
      </c>
      <c r="N737" t="n" s="7">
        <v>44686.0</v>
      </c>
      <c r="O737" t="n" s="7">
        <v>44706.0</v>
      </c>
      <c r="P737" t="s" s="1">
        <v>3259</v>
      </c>
    </row>
    <row r="738" spans="1:16">
      <c r="A738" t="n" s="4">
        <v>734</v>
      </c>
      <c r="B738" s="2">
        <f>HYPERLINK("https://my.zakupki.prom.ua/remote/dispatcher/state_purchase_view/36121231", "UA-2022-05-13-001770-a")</f>
        <v/>
      </c>
      <c r="C738" t="s" s="2">
        <v>2890</v>
      </c>
      <c r="D738" s="2">
        <f>HYPERLINK("https://my.zakupki.prom.ua/remote/dispatcher/state_contracting_view/13367022", "UA-2022-05-13-001770-a-a1")</f>
        <v/>
      </c>
      <c r="E738" t="s" s="1">
        <v>1578</v>
      </c>
      <c r="F738" t="s" s="1">
        <v>2323</v>
      </c>
      <c r="G738" t="s" s="1">
        <v>3156</v>
      </c>
      <c r="H738" t="s" s="1">
        <v>636</v>
      </c>
      <c r="I738" t="s" s="1">
        <v>2017</v>
      </c>
      <c r="J738" t="s" s="1">
        <v>3113</v>
      </c>
      <c r="K738" t="s" s="1">
        <v>398</v>
      </c>
      <c r="L738" t="s" s="1">
        <v>475</v>
      </c>
      <c r="M738" t="n" s="5">
        <v>10659.9</v>
      </c>
      <c r="N738" t="n" s="7">
        <v>44694.0</v>
      </c>
      <c r="O738" t="n" s="7">
        <v>44706.0</v>
      </c>
      <c r="P738" t="s" s="1">
        <v>3259</v>
      </c>
    </row>
    <row r="739" spans="1:16">
      <c r="A739" t="n" s="4">
        <v>735</v>
      </c>
      <c r="B739" s="2">
        <f>HYPERLINK("https://my.zakupki.prom.ua/remote/dispatcher/state_purchase_view/36089745", "UA-2022-05-10-001961-a")</f>
        <v/>
      </c>
      <c r="C739" t="s" s="2">
        <v>2890</v>
      </c>
      <c r="D739" s="2">
        <f>HYPERLINK("https://my.zakupki.prom.ua/remote/dispatcher/state_contracting_view/13351132", "UA-2022-05-10-001961-a-a1")</f>
        <v/>
      </c>
      <c r="E739" t="s" s="1">
        <v>1812</v>
      </c>
      <c r="F739" t="s" s="1">
        <v>2490</v>
      </c>
      <c r="G739" t="s" s="1">
        <v>1895</v>
      </c>
      <c r="H739" t="s" s="1">
        <v>653</v>
      </c>
      <c r="I739" t="s" s="1">
        <v>2017</v>
      </c>
      <c r="J739" t="s" s="1">
        <v>2030</v>
      </c>
      <c r="K739" t="s" s="1">
        <v>591</v>
      </c>
      <c r="L739" t="s" s="1">
        <v>739</v>
      </c>
      <c r="M739" t="n" s="5">
        <v>1697.4</v>
      </c>
      <c r="N739" t="n" s="7">
        <v>44691.0</v>
      </c>
      <c r="O739" t="n" s="7">
        <v>44706.0</v>
      </c>
      <c r="P739" t="s" s="1">
        <v>3259</v>
      </c>
    </row>
    <row r="740" spans="1:16">
      <c r="A740" t="n" s="4">
        <v>736</v>
      </c>
      <c r="B740" s="2">
        <f>HYPERLINK("https://my.zakupki.prom.ua/remote/dispatcher/state_purchase_view/36154992", "UA-2022-05-18-002977-a")</f>
        <v/>
      </c>
      <c r="C740" t="s" s="2">
        <v>2890</v>
      </c>
      <c r="D740" s="2">
        <f>HYPERLINK("https://my.zakupki.prom.ua/remote/dispatcher/state_contracting_view/13384381", "UA-2022-05-18-002977-a-b1")</f>
        <v/>
      </c>
      <c r="E740" t="s" s="1">
        <v>1506</v>
      </c>
      <c r="F740" t="s" s="1">
        <v>2492</v>
      </c>
      <c r="G740" t="s" s="1">
        <v>3016</v>
      </c>
      <c r="H740" t="s" s="1">
        <v>653</v>
      </c>
      <c r="I740" t="s" s="1">
        <v>2017</v>
      </c>
      <c r="J740" t="s" s="1">
        <v>2987</v>
      </c>
      <c r="K740" t="s" s="1">
        <v>516</v>
      </c>
      <c r="L740" t="s" s="1">
        <v>484</v>
      </c>
      <c r="M740" t="n" s="5">
        <v>42102.52</v>
      </c>
      <c r="N740" t="n" s="7">
        <v>44699.0</v>
      </c>
      <c r="O740" t="n" s="7">
        <v>44706.0</v>
      </c>
      <c r="P740" t="s" s="1">
        <v>3259</v>
      </c>
    </row>
    <row r="741" spans="1:16">
      <c r="A741" t="n" s="4">
        <v>737</v>
      </c>
      <c r="B741" s="2">
        <f>HYPERLINK("https://my.zakupki.prom.ua/remote/dispatcher/state_purchase_view/36071115", "UA-2022-05-06-000761-a")</f>
        <v/>
      </c>
      <c r="C741" t="s" s="2">
        <v>2890</v>
      </c>
      <c r="D741" s="2">
        <f>HYPERLINK("https://my.zakupki.prom.ua/remote/dispatcher/state_contracting_view/13343938", "UA-2022-05-06-000761-a-a1")</f>
        <v/>
      </c>
      <c r="E741" t="s" s="1">
        <v>1012</v>
      </c>
      <c r="F741" t="s" s="1">
        <v>2343</v>
      </c>
      <c r="G741" t="s" s="1">
        <v>3232</v>
      </c>
      <c r="H741" t="s" s="1">
        <v>638</v>
      </c>
      <c r="I741" t="s" s="1">
        <v>2017</v>
      </c>
      <c r="J741" t="s" s="1">
        <v>3113</v>
      </c>
      <c r="K741" t="s" s="1">
        <v>398</v>
      </c>
      <c r="L741" t="s" s="1">
        <v>446</v>
      </c>
      <c r="M741" t="n" s="5">
        <v>1200.01</v>
      </c>
      <c r="N741" t="n" s="7">
        <v>44686.0</v>
      </c>
      <c r="O741" t="n" s="7">
        <v>44706.0</v>
      </c>
      <c r="P741" t="s" s="1">
        <v>3259</v>
      </c>
    </row>
    <row r="742" spans="1:16">
      <c r="A742" t="n" s="4">
        <v>738</v>
      </c>
      <c r="B742" s="2">
        <f>HYPERLINK("https://my.zakupki.prom.ua/remote/dispatcher/state_purchase_view/36103805", "UA-2022-05-11-004299-a")</f>
        <v/>
      </c>
      <c r="C742" t="s" s="2">
        <v>2890</v>
      </c>
      <c r="D742" s="2">
        <f>HYPERLINK("https://my.zakupki.prom.ua/remote/dispatcher/state_contracting_view/13358067", "UA-2022-05-11-004299-a-a1")</f>
        <v/>
      </c>
      <c r="E742" t="s" s="1">
        <v>243</v>
      </c>
      <c r="F742" t="s" s="1">
        <v>2644</v>
      </c>
      <c r="G742" t="s" s="1">
        <v>2644</v>
      </c>
      <c r="H742" t="s" s="1">
        <v>943</v>
      </c>
      <c r="I742" t="s" s="1">
        <v>2017</v>
      </c>
      <c r="J742" t="s" s="1">
        <v>2992</v>
      </c>
      <c r="K742" t="s" s="1">
        <v>599</v>
      </c>
      <c r="L742" t="s" s="1">
        <v>467</v>
      </c>
      <c r="M742" t="n" s="5">
        <v>293648.0</v>
      </c>
      <c r="N742" t="n" s="7">
        <v>44692.0</v>
      </c>
      <c r="O742" t="n" s="7">
        <v>44706.0</v>
      </c>
      <c r="P742" t="s" s="1">
        <v>3259</v>
      </c>
    </row>
    <row r="743" spans="1:16">
      <c r="A743" t="n" s="4">
        <v>739</v>
      </c>
      <c r="B743" s="2">
        <f>HYPERLINK("https://my.zakupki.prom.ua/remote/dispatcher/state_purchase_view/36126960", "UA-2022-05-13-004870-a")</f>
        <v/>
      </c>
      <c r="C743" t="s" s="2">
        <v>2890</v>
      </c>
      <c r="D743" s="2">
        <f>HYPERLINK("https://my.zakupki.prom.ua/remote/dispatcher/state_contracting_view/13369940", "UA-2022-05-13-004870-a-a1")</f>
        <v/>
      </c>
      <c r="E743" t="s" s="1">
        <v>1434</v>
      </c>
      <c r="F743" t="s" s="1">
        <v>2361</v>
      </c>
      <c r="G743" t="s" s="1">
        <v>2361</v>
      </c>
      <c r="H743" t="s" s="1">
        <v>640</v>
      </c>
      <c r="I743" t="s" s="1">
        <v>2017</v>
      </c>
      <c r="J743" t="s" s="1">
        <v>1945</v>
      </c>
      <c r="K743" t="s" s="1">
        <v>661</v>
      </c>
      <c r="L743" t="s" s="1">
        <v>1484</v>
      </c>
      <c r="M743" t="n" s="5">
        <v>12310.0</v>
      </c>
      <c r="N743" t="n" s="7">
        <v>44692.0</v>
      </c>
      <c r="O743" t="n" s="7">
        <v>44706.0</v>
      </c>
      <c r="P743" t="s" s="1">
        <v>3259</v>
      </c>
    </row>
    <row r="744" spans="1:16">
      <c r="A744" t="n" s="4">
        <v>740</v>
      </c>
      <c r="B744" s="2">
        <f>HYPERLINK("https://my.zakupki.prom.ua/remote/dispatcher/state_purchase_view/36094182", "UA-2022-05-10-004296-a")</f>
        <v/>
      </c>
      <c r="C744" t="s" s="2">
        <v>2890</v>
      </c>
      <c r="D744" s="2">
        <f>HYPERLINK("https://my.zakupki.prom.ua/remote/dispatcher/state_contracting_view/13353387", "UA-2022-05-10-004296-a-a1")</f>
        <v/>
      </c>
      <c r="E744" t="s" s="1">
        <v>1036</v>
      </c>
      <c r="F744" t="s" s="1">
        <v>2366</v>
      </c>
      <c r="G744" t="s" s="1">
        <v>2366</v>
      </c>
      <c r="H744" t="s" s="1">
        <v>640</v>
      </c>
      <c r="I744" t="s" s="1">
        <v>2017</v>
      </c>
      <c r="J744" t="s" s="1">
        <v>2918</v>
      </c>
      <c r="K744" t="s" s="1">
        <v>438</v>
      </c>
      <c r="L744" t="s" s="1">
        <v>459</v>
      </c>
      <c r="M744" t="n" s="5">
        <v>39739.8</v>
      </c>
      <c r="N744" t="n" s="7">
        <v>44691.0</v>
      </c>
      <c r="O744" t="n" s="7">
        <v>44706.0</v>
      </c>
      <c r="P744" t="s" s="1">
        <v>3259</v>
      </c>
    </row>
    <row r="745" spans="1:16">
      <c r="A745" t="n" s="4">
        <v>741</v>
      </c>
      <c r="B745" s="2">
        <f>HYPERLINK("https://my.zakupki.prom.ua/remote/dispatcher/state_purchase_view/36103794", "UA-2022-05-11-004286-a")</f>
        <v/>
      </c>
      <c r="C745" t="s" s="2">
        <v>2890</v>
      </c>
      <c r="D745" s="2">
        <f>HYPERLINK("https://my.zakupki.prom.ua/remote/dispatcher/state_contracting_view/13357996", "UA-2022-05-11-004286-a-a1")</f>
        <v/>
      </c>
      <c r="E745" t="s" s="1">
        <v>886</v>
      </c>
      <c r="F745" t="s" s="1">
        <v>2646</v>
      </c>
      <c r="G745" t="s" s="1">
        <v>2646</v>
      </c>
      <c r="H745" t="s" s="1">
        <v>943</v>
      </c>
      <c r="I745" t="s" s="1">
        <v>2017</v>
      </c>
      <c r="J745" t="s" s="1">
        <v>2992</v>
      </c>
      <c r="K745" t="s" s="1">
        <v>599</v>
      </c>
      <c r="L745" t="s" s="1">
        <v>466</v>
      </c>
      <c r="M745" t="n" s="5">
        <v>247725.0</v>
      </c>
      <c r="N745" t="n" s="7">
        <v>44692.0</v>
      </c>
      <c r="O745" t="n" s="7">
        <v>44706.0</v>
      </c>
      <c r="P745" t="s" s="1">
        <v>3259</v>
      </c>
    </row>
    <row r="746" spans="1:16">
      <c r="A746" t="n" s="4">
        <v>742</v>
      </c>
      <c r="B746" s="2">
        <f>HYPERLINK("https://my.zakupki.prom.ua/remote/dispatcher/state_purchase_view/36137991", "UA-2022-05-16-005192-a")</f>
        <v/>
      </c>
      <c r="C746" t="s" s="2">
        <v>2890</v>
      </c>
      <c r="D746" s="2">
        <f>HYPERLINK("https://my.zakupki.prom.ua/remote/dispatcher/state_contracting_view/13377032", "UA-2022-05-16-005192-a-a1")</f>
        <v/>
      </c>
      <c r="E746" t="s" s="1">
        <v>1638</v>
      </c>
      <c r="F746" t="s" s="1">
        <v>2364</v>
      </c>
      <c r="G746" t="s" s="1">
        <v>3025</v>
      </c>
      <c r="H746" t="s" s="1">
        <v>640</v>
      </c>
      <c r="I746" t="s" s="1">
        <v>2017</v>
      </c>
      <c r="J746" t="s" s="1">
        <v>3114</v>
      </c>
      <c r="K746" t="s" s="1">
        <v>873</v>
      </c>
      <c r="L746" t="s" s="1">
        <v>479</v>
      </c>
      <c r="M746" t="n" s="5">
        <v>71850.0</v>
      </c>
      <c r="N746" t="n" s="7">
        <v>44697.0</v>
      </c>
      <c r="O746" t="n" s="7">
        <v>44706.0</v>
      </c>
      <c r="P746" t="s" s="1">
        <v>3259</v>
      </c>
    </row>
    <row r="747" spans="1:16">
      <c r="A747" t="n" s="4">
        <v>743</v>
      </c>
      <c r="B747" s="2">
        <f>HYPERLINK("https://my.zakupki.prom.ua/remote/dispatcher/state_purchase_view/36138123", "UA-2022-05-16-005270-a")</f>
        <v/>
      </c>
      <c r="C747" t="s" s="2">
        <v>2890</v>
      </c>
      <c r="D747" s="2">
        <f>HYPERLINK("https://my.zakupki.prom.ua/remote/dispatcher/state_contracting_view/13376877", "UA-2022-05-16-005270-a-a1")</f>
        <v/>
      </c>
      <c r="E747" t="s" s="1">
        <v>1768</v>
      </c>
      <c r="F747" t="s" s="1">
        <v>2332</v>
      </c>
      <c r="G747" t="s" s="1">
        <v>2332</v>
      </c>
      <c r="H747" t="s" s="1">
        <v>638</v>
      </c>
      <c r="I747" t="s" s="1">
        <v>2017</v>
      </c>
      <c r="J747" t="s" s="1">
        <v>3114</v>
      </c>
      <c r="K747" t="s" s="1">
        <v>873</v>
      </c>
      <c r="L747" t="s" s="1">
        <v>481</v>
      </c>
      <c r="M747" t="n" s="5">
        <v>4300.0</v>
      </c>
      <c r="N747" t="n" s="7">
        <v>44697.0</v>
      </c>
      <c r="O747" t="n" s="7">
        <v>44706.0</v>
      </c>
      <c r="P747" t="s" s="1">
        <v>3259</v>
      </c>
    </row>
    <row r="748" spans="1:16">
      <c r="A748" t="n" s="4">
        <v>744</v>
      </c>
      <c r="B748" s="2">
        <f>HYPERLINK("https://my.zakupki.prom.ua/remote/dispatcher/state_purchase_view/36094253", "UA-2022-05-10-004343-a")</f>
        <v/>
      </c>
      <c r="C748" t="s" s="2">
        <v>2890</v>
      </c>
      <c r="D748" s="2">
        <f>HYPERLINK("https://my.zakupki.prom.ua/remote/dispatcher/state_contracting_view/13353493", "UA-2022-05-10-004343-a-a1")</f>
        <v/>
      </c>
      <c r="E748" t="s" s="1">
        <v>1469</v>
      </c>
      <c r="F748" t="s" s="1">
        <v>2367</v>
      </c>
      <c r="G748" t="s" s="1">
        <v>2367</v>
      </c>
      <c r="H748" t="s" s="1">
        <v>640</v>
      </c>
      <c r="I748" t="s" s="1">
        <v>2017</v>
      </c>
      <c r="J748" t="s" s="1">
        <v>2918</v>
      </c>
      <c r="K748" t="s" s="1">
        <v>438</v>
      </c>
      <c r="L748" t="s" s="1">
        <v>464</v>
      </c>
      <c r="M748" t="n" s="5">
        <v>89109.6</v>
      </c>
      <c r="N748" t="n" s="7">
        <v>44691.0</v>
      </c>
      <c r="O748" t="n" s="7">
        <v>44706.0</v>
      </c>
      <c r="P748" t="s" s="1">
        <v>3259</v>
      </c>
    </row>
    <row r="749" spans="1:16">
      <c r="A749" t="n" s="4">
        <v>745</v>
      </c>
      <c r="B749" s="2">
        <f>HYPERLINK("https://my.zakupki.prom.ua/remote/dispatcher/state_purchase_view/36155205", "UA-2022-05-18-003098-a")</f>
        <v/>
      </c>
      <c r="C749" t="s" s="2">
        <v>2890</v>
      </c>
      <c r="D749" s="2">
        <f>HYPERLINK("https://my.zakupki.prom.ua/remote/dispatcher/state_contracting_view/13385081", "UA-2022-05-18-003098-a-b1")</f>
        <v/>
      </c>
      <c r="E749" t="s" s="1">
        <v>1704</v>
      </c>
      <c r="F749" t="s" s="1">
        <v>2682</v>
      </c>
      <c r="G749" t="s" s="1">
        <v>2682</v>
      </c>
      <c r="H749" t="s" s="1">
        <v>1030</v>
      </c>
      <c r="I749" t="s" s="1">
        <v>2017</v>
      </c>
      <c r="J749" t="s" s="1">
        <v>3109</v>
      </c>
      <c r="K749" t="s" s="1">
        <v>823</v>
      </c>
      <c r="L749" t="s" s="1">
        <v>43</v>
      </c>
      <c r="M749" t="n" s="5">
        <v>14526.0</v>
      </c>
      <c r="N749" t="n" s="7">
        <v>44699.0</v>
      </c>
      <c r="O749" t="n" s="7">
        <v>44705.0</v>
      </c>
      <c r="P749" t="s" s="1">
        <v>3259</v>
      </c>
    </row>
    <row r="750" spans="1:16">
      <c r="A750" t="n" s="4">
        <v>746</v>
      </c>
      <c r="B750" s="2">
        <f>HYPERLINK("https://my.zakupki.prom.ua/remote/dispatcher/state_purchase_view/35799559", "UA-2022-03-31-001285-b")</f>
        <v/>
      </c>
      <c r="C750" t="s" s="2">
        <v>2890</v>
      </c>
      <c r="D750" s="2">
        <f>HYPERLINK("https://my.zakupki.prom.ua/remote/dispatcher/state_contracting_view/13203403", "UA-2022-03-31-001285-b-b1")</f>
        <v/>
      </c>
      <c r="E750" t="s" s="1">
        <v>1839</v>
      </c>
      <c r="F750" t="s" s="1">
        <v>2389</v>
      </c>
      <c r="G750" t="s" s="1">
        <v>3276</v>
      </c>
      <c r="H750" t="s" s="1">
        <v>642</v>
      </c>
      <c r="I750" t="s" s="1">
        <v>2017</v>
      </c>
      <c r="J750" t="s" s="1">
        <v>2011</v>
      </c>
      <c r="K750" t="s" s="1">
        <v>627</v>
      </c>
      <c r="L750" t="s" s="1">
        <v>272</v>
      </c>
      <c r="M750" t="n" s="5">
        <v>22200.0</v>
      </c>
      <c r="N750" t="n" s="7">
        <v>44651.0</v>
      </c>
      <c r="O750" t="n" s="7">
        <v>44702.0</v>
      </c>
      <c r="P750" t="s" s="1">
        <v>3259</v>
      </c>
    </row>
    <row r="751" spans="1:16">
      <c r="A751" t="n" s="4">
        <v>747</v>
      </c>
      <c r="B751" s="2">
        <f>HYPERLINK("https://my.zakupki.prom.ua/remote/dispatcher/state_purchase_view/35905197", "UA-2022-04-13-000357-b")</f>
        <v/>
      </c>
      <c r="C751" t="s" s="2">
        <v>2890</v>
      </c>
      <c r="D751" s="2">
        <f>HYPERLINK("https://my.zakupki.prom.ua/remote/dispatcher/state_contracting_view/13257646", "UA-2022-04-13-000357-b-b1")</f>
        <v/>
      </c>
      <c r="E751" t="s" s="1">
        <v>1781</v>
      </c>
      <c r="F751" t="s" s="1">
        <v>2168</v>
      </c>
      <c r="G751" t="s" s="1">
        <v>3244</v>
      </c>
      <c r="H751" t="s" s="1">
        <v>68</v>
      </c>
      <c r="I751" t="s" s="1">
        <v>2017</v>
      </c>
      <c r="J751" t="s" s="1">
        <v>3128</v>
      </c>
      <c r="K751" t="s" s="1">
        <v>777</v>
      </c>
      <c r="L751" t="s" s="1">
        <v>989</v>
      </c>
      <c r="M751" t="n" s="5">
        <v>49282.0</v>
      </c>
      <c r="N751" t="n" s="7">
        <v>44663.0</v>
      </c>
      <c r="O751" t="n" s="7">
        <v>44681.0</v>
      </c>
      <c r="P751" t="s" s="1">
        <v>3259</v>
      </c>
    </row>
    <row r="752" spans="1:16">
      <c r="A752" t="n" s="4">
        <v>748</v>
      </c>
      <c r="B752" s="2">
        <f>HYPERLINK("https://my.zakupki.prom.ua/remote/dispatcher/state_purchase_view/36009219", "UA-2022-04-27-001455-a")</f>
        <v/>
      </c>
      <c r="C752" t="s" s="2">
        <v>2890</v>
      </c>
      <c r="D752" s="2">
        <f>HYPERLINK("https://my.zakupki.prom.ua/remote/dispatcher/state_contracting_view/13312296", "UA-2022-04-27-001455-a-a1")</f>
        <v/>
      </c>
      <c r="E752" t="s" s="1">
        <v>1652</v>
      </c>
      <c r="F752" t="s" s="1">
        <v>2266</v>
      </c>
      <c r="G752" t="s" s="1">
        <v>1921</v>
      </c>
      <c r="H752" t="s" s="1">
        <v>413</v>
      </c>
      <c r="I752" t="s" s="1">
        <v>2017</v>
      </c>
      <c r="J752" t="s" s="1">
        <v>2902</v>
      </c>
      <c r="K752" t="s" s="1">
        <v>589</v>
      </c>
      <c r="L752" t="s" s="1">
        <v>470</v>
      </c>
      <c r="M752" t="n" s="5">
        <v>45817.32</v>
      </c>
      <c r="N752" t="n" s="7">
        <v>44678.0</v>
      </c>
      <c r="O752" t="n" s="7">
        <v>44681.0</v>
      </c>
      <c r="P752" t="s" s="1">
        <v>3259</v>
      </c>
    </row>
    <row r="753" spans="1:16">
      <c r="A753" t="n" s="4">
        <v>749</v>
      </c>
      <c r="B753" s="2">
        <f>HYPERLINK("https://my.zakupki.prom.ua/remote/dispatcher/state_purchase_view/35923090", "UA-2022-04-14-001834-b")</f>
        <v/>
      </c>
      <c r="C753" t="s" s="2">
        <v>2890</v>
      </c>
      <c r="D753" s="2">
        <f>HYPERLINK("https://my.zakupki.prom.ua/remote/dispatcher/state_contracting_view/13266857", "UA-2022-04-14-001834-b-b1")</f>
        <v/>
      </c>
      <c r="E753" t="s" s="1">
        <v>1580</v>
      </c>
      <c r="F753" t="s" s="1">
        <v>2650</v>
      </c>
      <c r="G753" t="s" s="1">
        <v>2650</v>
      </c>
      <c r="H753" t="s" s="1">
        <v>943</v>
      </c>
      <c r="I753" t="s" s="1">
        <v>2017</v>
      </c>
      <c r="J753" t="s" s="1">
        <v>3111</v>
      </c>
      <c r="K753" t="s" s="1">
        <v>856</v>
      </c>
      <c r="L753" t="s" s="1">
        <v>361</v>
      </c>
      <c r="M753" t="n" s="5">
        <v>702786.0</v>
      </c>
      <c r="N753" t="n" s="7">
        <v>44664.0</v>
      </c>
      <c r="O753" t="n" s="7">
        <v>44676.0</v>
      </c>
      <c r="P753" t="s" s="1">
        <v>3259</v>
      </c>
    </row>
    <row r="754" spans="1:16">
      <c r="A754" t="n" s="4">
        <v>750</v>
      </c>
      <c r="B754" s="2">
        <f>HYPERLINK("https://my.zakupki.prom.ua/remote/dispatcher/state_purchase_view/35971907", "UA-2022-04-20-003195-a")</f>
        <v/>
      </c>
      <c r="C754" t="s" s="2">
        <v>2890</v>
      </c>
      <c r="D754" s="2">
        <f>HYPERLINK("https://my.zakupki.prom.ua/remote/dispatcher/state_contracting_view/13292522", "UA-2022-04-20-003195-a-a1")</f>
        <v/>
      </c>
      <c r="E754" t="s" s="1">
        <v>1279</v>
      </c>
      <c r="F754" t="s" s="1">
        <v>2649</v>
      </c>
      <c r="G754" t="s" s="1">
        <v>2649</v>
      </c>
      <c r="H754" t="s" s="1">
        <v>943</v>
      </c>
      <c r="I754" t="s" s="1">
        <v>2017</v>
      </c>
      <c r="J754" t="s" s="1">
        <v>3111</v>
      </c>
      <c r="K754" t="s" s="1">
        <v>856</v>
      </c>
      <c r="L754" t="s" s="1">
        <v>435</v>
      </c>
      <c r="M754" t="n" s="5">
        <v>745097.0</v>
      </c>
      <c r="N754" t="n" s="7">
        <v>44669.0</v>
      </c>
      <c r="O754" t="n" s="7">
        <v>44676.0</v>
      </c>
      <c r="P754" t="s" s="1">
        <v>3259</v>
      </c>
    </row>
    <row r="755" spans="1:16">
      <c r="A755" t="n" s="4">
        <v>751</v>
      </c>
      <c r="B755" s="2">
        <f>HYPERLINK("https://my.zakupki.prom.ua/remote/dispatcher/state_purchase_view/35952526", "UA-2022-04-19-000222-a")</f>
        <v/>
      </c>
      <c r="C755" t="s" s="2">
        <v>2890</v>
      </c>
      <c r="D755" s="2">
        <f>HYPERLINK("https://my.zakupki.prom.ua/remote/dispatcher/state_contracting_view/13282622", "UA-2022-04-19-000222-a-a1")</f>
        <v/>
      </c>
      <c r="E755" t="s" s="1">
        <v>1606</v>
      </c>
      <c r="F755" t="s" s="1">
        <v>2094</v>
      </c>
      <c r="G755" t="s" s="1">
        <v>3285</v>
      </c>
      <c r="H755" t="s" s="1">
        <v>636</v>
      </c>
      <c r="I755" t="s" s="1">
        <v>2017</v>
      </c>
      <c r="J755" t="s" s="1">
        <v>3113</v>
      </c>
      <c r="K755" t="s" s="1">
        <v>398</v>
      </c>
      <c r="L755" t="s" s="1">
        <v>384</v>
      </c>
      <c r="M755" t="n" s="5">
        <v>59999.18</v>
      </c>
      <c r="N755" t="n" s="7">
        <v>44666.0</v>
      </c>
      <c r="O755" t="n" s="7">
        <v>44675.0</v>
      </c>
      <c r="P755" t="s" s="1">
        <v>3259</v>
      </c>
    </row>
    <row r="756" spans="1:16">
      <c r="A756" t="n" s="4">
        <v>752</v>
      </c>
      <c r="B756" s="2">
        <f>HYPERLINK("https://my.zakupki.prom.ua/remote/dispatcher/state_purchase_view/35955537", "UA-2022-04-19-001380-a")</f>
        <v/>
      </c>
      <c r="C756" t="s" s="2">
        <v>2890</v>
      </c>
      <c r="D756" s="2">
        <f>HYPERLINK("https://my.zakupki.prom.ua/remote/dispatcher/state_contracting_view/13284897", "UA-2022-04-19-001380-a-a1")</f>
        <v/>
      </c>
      <c r="E756" t="s" s="1">
        <v>1353</v>
      </c>
      <c r="F756" t="s" s="1">
        <v>2434</v>
      </c>
      <c r="G756" t="s" s="1">
        <v>3223</v>
      </c>
      <c r="H756" t="s" s="1">
        <v>650</v>
      </c>
      <c r="I756" t="s" s="1">
        <v>2017</v>
      </c>
      <c r="J756" t="s" s="1">
        <v>3113</v>
      </c>
      <c r="K756" t="s" s="1">
        <v>398</v>
      </c>
      <c r="L756" t="s" s="1">
        <v>388</v>
      </c>
      <c r="M756" t="n" s="5">
        <v>139300.97</v>
      </c>
      <c r="N756" t="n" s="7">
        <v>44666.0</v>
      </c>
      <c r="O756" t="n" s="7">
        <v>44675.0</v>
      </c>
      <c r="P756" t="s" s="1">
        <v>3259</v>
      </c>
    </row>
    <row r="757" spans="1:16">
      <c r="A757" t="n" s="4">
        <v>753</v>
      </c>
      <c r="B757" s="2">
        <f>HYPERLINK("https://my.zakupki.prom.ua/remote/dispatcher/state_purchase_view/35950375", "UA-2022-04-18-003456-a")</f>
        <v/>
      </c>
      <c r="C757" t="s" s="2">
        <v>2890</v>
      </c>
      <c r="D757" s="2">
        <f>HYPERLINK("https://my.zakupki.prom.ua/remote/dispatcher/state_contracting_view/13281268", "UA-2022-04-18-003456-a-a1")</f>
        <v/>
      </c>
      <c r="E757" t="s" s="1">
        <v>1129</v>
      </c>
      <c r="F757" t="s" s="1">
        <v>2338</v>
      </c>
      <c r="G757" t="s" s="1">
        <v>1918</v>
      </c>
      <c r="H757" t="s" s="1">
        <v>638</v>
      </c>
      <c r="I757" t="s" s="1">
        <v>2017</v>
      </c>
      <c r="J757" t="s" s="1">
        <v>2852</v>
      </c>
      <c r="K757" t="s" s="1">
        <v>318</v>
      </c>
      <c r="L757" t="s" s="1">
        <v>417</v>
      </c>
      <c r="M757" t="n" s="5">
        <v>54790.42</v>
      </c>
      <c r="N757" t="n" s="7">
        <v>44669.0</v>
      </c>
      <c r="O757" t="n" s="7">
        <v>44675.0</v>
      </c>
      <c r="P757" t="s" s="1">
        <v>3259</v>
      </c>
    </row>
    <row r="758" spans="1:16">
      <c r="A758" t="n" s="4">
        <v>754</v>
      </c>
      <c r="B758" s="2">
        <f>HYPERLINK("https://my.zakupki.prom.ua/remote/dispatcher/state_purchase_view/35950756", "UA-2022-04-18-003595-a")</f>
        <v/>
      </c>
      <c r="C758" t="s" s="2">
        <v>2890</v>
      </c>
      <c r="D758" s="2">
        <f>HYPERLINK("https://my.zakupki.prom.ua/remote/dispatcher/state_contracting_view/13281303", "UA-2022-04-18-003595-a-a1")</f>
        <v/>
      </c>
      <c r="E758" t="s" s="1">
        <v>800</v>
      </c>
      <c r="F758" t="s" s="1">
        <v>2344</v>
      </c>
      <c r="G758" t="s" s="1">
        <v>3243</v>
      </c>
      <c r="H758" t="s" s="1">
        <v>638</v>
      </c>
      <c r="I758" t="s" s="1">
        <v>2017</v>
      </c>
      <c r="J758" t="s" s="1">
        <v>2852</v>
      </c>
      <c r="K758" t="s" s="1">
        <v>318</v>
      </c>
      <c r="L758" t="s" s="1">
        <v>412</v>
      </c>
      <c r="M758" t="n" s="5">
        <v>129410.0</v>
      </c>
      <c r="N758" t="n" s="7">
        <v>44669.0</v>
      </c>
      <c r="O758" t="n" s="7">
        <v>44675.0</v>
      </c>
      <c r="P758" t="s" s="1">
        <v>3259</v>
      </c>
    </row>
    <row r="759" spans="1:16">
      <c r="A759" t="n" s="4">
        <v>755</v>
      </c>
      <c r="B759" s="2">
        <f>HYPERLINK("https://my.zakupki.prom.ua/remote/dispatcher/state_purchase_view/35952461", "UA-2022-04-19-000198-a")</f>
        <v/>
      </c>
      <c r="C759" t="s" s="2">
        <v>2890</v>
      </c>
      <c r="D759" s="2">
        <f>HYPERLINK("https://my.zakupki.prom.ua/remote/dispatcher/state_contracting_view/13282448", "UA-2022-04-19-000198-a-a1")</f>
        <v/>
      </c>
      <c r="E759" t="s" s="1">
        <v>1857</v>
      </c>
      <c r="F759" t="s" s="1">
        <v>2425</v>
      </c>
      <c r="G759" t="s" s="1">
        <v>3173</v>
      </c>
      <c r="H759" t="s" s="1">
        <v>650</v>
      </c>
      <c r="I759" t="s" s="1">
        <v>2017</v>
      </c>
      <c r="J759" t="s" s="1">
        <v>3113</v>
      </c>
      <c r="K759" t="s" s="1">
        <v>398</v>
      </c>
      <c r="L759" t="s" s="1">
        <v>386</v>
      </c>
      <c r="M759" t="n" s="5">
        <v>28539.72</v>
      </c>
      <c r="N759" t="n" s="7">
        <v>44666.0</v>
      </c>
      <c r="O759" t="n" s="7">
        <v>44675.0</v>
      </c>
      <c r="P759" t="s" s="1">
        <v>3259</v>
      </c>
    </row>
    <row r="760" spans="1:16">
      <c r="A760" t="n" s="4">
        <v>756</v>
      </c>
      <c r="B760" s="2">
        <f>HYPERLINK("https://my.zakupki.prom.ua/remote/dispatcher/state_purchase_view/35902447", "UA-2022-04-12-004100-b")</f>
        <v/>
      </c>
      <c r="C760" t="s" s="2">
        <v>2890</v>
      </c>
      <c r="D760" s="2">
        <f>HYPERLINK("https://my.zakupki.prom.ua/remote/dispatcher/state_contracting_view/13256378", "UA-2022-04-12-004100-b-b1")</f>
        <v/>
      </c>
      <c r="E760" t="s" s="1">
        <v>1736</v>
      </c>
      <c r="F760" t="s" s="1">
        <v>2336</v>
      </c>
      <c r="G760" t="s" s="1">
        <v>3235</v>
      </c>
      <c r="H760" t="s" s="1">
        <v>638</v>
      </c>
      <c r="I760" t="s" s="1">
        <v>2017</v>
      </c>
      <c r="J760" t="s" s="1">
        <v>3124</v>
      </c>
      <c r="K760" t="s" s="1">
        <v>337</v>
      </c>
      <c r="L760" t="s" s="1">
        <v>262</v>
      </c>
      <c r="M760" t="n" s="5">
        <v>2150.0</v>
      </c>
      <c r="N760" t="n" s="7">
        <v>44662.0</v>
      </c>
      <c r="O760" t="n" s="7">
        <v>44675.0</v>
      </c>
      <c r="P760" t="s" s="1">
        <v>3259</v>
      </c>
    </row>
    <row r="761" spans="1:16">
      <c r="A761" t="n" s="4">
        <v>757</v>
      </c>
      <c r="B761" s="2">
        <f>HYPERLINK("https://my.zakupki.prom.ua/remote/dispatcher/state_purchase_view/35952399", "UA-2022-04-19-000173-a")</f>
        <v/>
      </c>
      <c r="C761" t="s" s="2">
        <v>2890</v>
      </c>
      <c r="D761" s="2">
        <f>HYPERLINK("https://my.zakupki.prom.ua/remote/dispatcher/state_contracting_view/13282391", "UA-2022-04-19-000173-a-a1")</f>
        <v/>
      </c>
      <c r="E761" t="s" s="1">
        <v>1476</v>
      </c>
      <c r="F761" t="s" s="1">
        <v>2433</v>
      </c>
      <c r="G761" t="s" s="1">
        <v>3216</v>
      </c>
      <c r="H761" t="s" s="1">
        <v>650</v>
      </c>
      <c r="I761" t="s" s="1">
        <v>2017</v>
      </c>
      <c r="J761" t="s" s="1">
        <v>3113</v>
      </c>
      <c r="K761" t="s" s="1">
        <v>398</v>
      </c>
      <c r="L761" t="s" s="1">
        <v>387</v>
      </c>
      <c r="M761" t="n" s="5">
        <v>41359.5</v>
      </c>
      <c r="N761" t="n" s="7">
        <v>44666.0</v>
      </c>
      <c r="O761" t="n" s="7">
        <v>44675.0</v>
      </c>
      <c r="P761" t="s" s="1">
        <v>3259</v>
      </c>
    </row>
    <row r="762" spans="1:16">
      <c r="A762" t="n" s="4">
        <v>758</v>
      </c>
      <c r="B762" s="2">
        <f>HYPERLINK("https://my.zakupki.prom.ua/remote/dispatcher/state_purchase_view/35866711", "UA-2022-04-08-000146-b")</f>
        <v/>
      </c>
      <c r="C762" t="s" s="2">
        <v>2890</v>
      </c>
      <c r="D762" s="2">
        <f>HYPERLINK("https://my.zakupki.prom.ua/remote/dispatcher/state_contracting_view/13238433", "UA-2022-04-08-000146-b-b1")</f>
        <v/>
      </c>
      <c r="E762" t="s" s="1">
        <v>1612</v>
      </c>
      <c r="F762" t="s" s="1">
        <v>2095</v>
      </c>
      <c r="G762" t="s" s="1">
        <v>3286</v>
      </c>
      <c r="H762" t="s" s="1">
        <v>636</v>
      </c>
      <c r="I762" t="s" s="1">
        <v>2017</v>
      </c>
      <c r="J762" t="s" s="1">
        <v>3113</v>
      </c>
      <c r="K762" t="s" s="1">
        <v>398</v>
      </c>
      <c r="L762" t="s" s="1">
        <v>335</v>
      </c>
      <c r="M762" t="n" s="5">
        <v>152305.67</v>
      </c>
      <c r="N762" t="n" s="7">
        <v>44659.0</v>
      </c>
      <c r="O762" t="n" s="7">
        <v>44673.0</v>
      </c>
      <c r="P762" t="s" s="1">
        <v>3259</v>
      </c>
    </row>
    <row r="763" spans="1:16">
      <c r="A763" t="n" s="4">
        <v>759</v>
      </c>
      <c r="B763" s="2">
        <f>HYPERLINK("https://my.zakupki.prom.ua/remote/dispatcher/state_purchase_view/35805293", "UA-2022-04-01-000277-b")</f>
        <v/>
      </c>
      <c r="C763" t="s" s="2">
        <v>2890</v>
      </c>
      <c r="D763" s="2">
        <f>HYPERLINK("https://my.zakupki.prom.ua/remote/dispatcher/state_contracting_view/13206401", "UA-2022-04-01-000277-b-b1")</f>
        <v/>
      </c>
      <c r="E763" t="s" s="1">
        <v>1143</v>
      </c>
      <c r="F763" t="s" s="1">
        <v>2391</v>
      </c>
      <c r="G763" t="s" s="1">
        <v>3277</v>
      </c>
      <c r="H763" t="s" s="1">
        <v>642</v>
      </c>
      <c r="I763" t="s" s="1">
        <v>2017</v>
      </c>
      <c r="J763" t="s" s="1">
        <v>3226</v>
      </c>
      <c r="K763" t="s" s="1">
        <v>396</v>
      </c>
      <c r="L763" t="s" s="1">
        <v>275</v>
      </c>
      <c r="M763" t="n" s="5">
        <v>14691.1</v>
      </c>
      <c r="N763" t="n" s="7">
        <v>44652.0</v>
      </c>
      <c r="O763" t="n" s="7">
        <v>44672.0</v>
      </c>
      <c r="P763" t="s" s="1">
        <v>3259</v>
      </c>
    </row>
    <row r="764" spans="1:16">
      <c r="A764" t="n" s="4">
        <v>760</v>
      </c>
      <c r="B764" s="2">
        <f>HYPERLINK("https://my.zakupki.prom.ua/remote/dispatcher/state_purchase_view/35805124", "UA-2022-04-01-000217-b")</f>
        <v/>
      </c>
      <c r="C764" t="s" s="2">
        <v>2890</v>
      </c>
      <c r="D764" s="2">
        <f>HYPERLINK("https://my.zakupki.prom.ua/remote/dispatcher/state_contracting_view/13206229", "UA-2022-04-01-000217-b-b1")</f>
        <v/>
      </c>
      <c r="E764" t="s" s="1">
        <v>629</v>
      </c>
      <c r="F764" t="s" s="1">
        <v>2494</v>
      </c>
      <c r="G764" t="s" s="1">
        <v>3271</v>
      </c>
      <c r="H764" t="s" s="1">
        <v>653</v>
      </c>
      <c r="I764" t="s" s="1">
        <v>2017</v>
      </c>
      <c r="J764" t="s" s="1">
        <v>3226</v>
      </c>
      <c r="K764" t="s" s="1">
        <v>396</v>
      </c>
      <c r="L764" t="s" s="1">
        <v>276</v>
      </c>
      <c r="M764" t="n" s="5">
        <v>4259.29</v>
      </c>
      <c r="N764" t="n" s="7">
        <v>44652.0</v>
      </c>
      <c r="O764" t="n" s="7">
        <v>44672.0</v>
      </c>
      <c r="P764" t="s" s="1">
        <v>3259</v>
      </c>
    </row>
    <row r="765" spans="1:16">
      <c r="A765" t="n" s="4">
        <v>761</v>
      </c>
      <c r="B765" s="2">
        <f>HYPERLINK("https://my.zakupki.prom.ua/remote/dispatcher/state_purchase_view/35712568", "UA-2022-03-22-000793-a")</f>
        <v/>
      </c>
      <c r="C765" t="s" s="2">
        <v>2890</v>
      </c>
      <c r="D765" s="2">
        <f>HYPERLINK("https://my.zakupki.prom.ua/remote/dispatcher/state_contracting_view/13158892", "UA-2022-03-22-000793-a-a1")</f>
        <v/>
      </c>
      <c r="E765" t="s" s="1">
        <v>1015</v>
      </c>
      <c r="F765" t="s" s="1">
        <v>2155</v>
      </c>
      <c r="G765" t="s" s="1">
        <v>2155</v>
      </c>
      <c r="H765" t="s" s="1">
        <v>1319</v>
      </c>
      <c r="I765" t="s" s="1">
        <v>2017</v>
      </c>
      <c r="J765" t="s" s="1">
        <v>1907</v>
      </c>
      <c r="K765" t="s" s="1">
        <v>263</v>
      </c>
      <c r="L765" t="s" s="1">
        <v>249</v>
      </c>
      <c r="M765" t="n" s="5">
        <v>4243.83</v>
      </c>
      <c r="N765" t="n" s="7">
        <v>44641.0</v>
      </c>
      <c r="O765" t="n" s="7">
        <v>44651.0</v>
      </c>
      <c r="P765" t="s" s="1">
        <v>3259</v>
      </c>
    </row>
    <row r="766" spans="1:16">
      <c r="A766" t="n" s="4">
        <v>762</v>
      </c>
      <c r="B766" s="2">
        <f>HYPERLINK("https://my.zakupki.prom.ua/remote/dispatcher/state_purchase_view/35715424", "UA-2022-03-22-001816-a")</f>
        <v/>
      </c>
      <c r="C766" t="s" s="2">
        <v>2890</v>
      </c>
      <c r="D766" s="2">
        <f>HYPERLINK("https://my.zakupki.prom.ua/remote/dispatcher/state_contracting_view/13158979", "UA-2022-03-22-001816-a-a1")</f>
        <v/>
      </c>
      <c r="E766" t="s" s="1">
        <v>1667</v>
      </c>
      <c r="F766" t="s" s="1">
        <v>2648</v>
      </c>
      <c r="G766" t="s" s="1">
        <v>2648</v>
      </c>
      <c r="H766" t="s" s="1">
        <v>943</v>
      </c>
      <c r="I766" t="s" s="1">
        <v>2017</v>
      </c>
      <c r="J766" t="s" s="1">
        <v>3111</v>
      </c>
      <c r="K766" t="s" s="1">
        <v>856</v>
      </c>
      <c r="L766" t="s" s="1">
        <v>250</v>
      </c>
      <c r="M766" t="n" s="5">
        <v>295744.0</v>
      </c>
      <c r="N766" t="n" s="7">
        <v>44641.0</v>
      </c>
      <c r="O766" t="n" s="7">
        <v>44645.0</v>
      </c>
      <c r="P766" t="s" s="1">
        <v>3259</v>
      </c>
    </row>
    <row r="767" spans="1:16">
      <c r="A767" t="s" s="1">
        <v>2025</v>
      </c>
    </row>
  </sheetData>
  <autoFilter ref="A4:P766"/>
  <hyperlinks>
    <hyperlink display="mailto:report.zakupki@prom.ua" ref="A2" r:id="rId1"/>
    <hyperlink display="https://my.zakupki.prom.ua/remote/dispatcher/state_purchase_view/39116009" ref="B5" r:id="rId2"/>
    <hyperlink display="https://my.zakupki.prom.ua/remote/dispatcher/state_contracting_view/14813534" ref="D5" r:id="rId3"/>
    <hyperlink display="https://my.zakupki.prom.ua/remote/dispatcher/state_purchase_view/39114732" ref="B6" r:id="rId4"/>
    <hyperlink display="https://my.zakupki.prom.ua/remote/dispatcher/state_contracting_view/14812728" ref="D6" r:id="rId5"/>
    <hyperlink display="https://my.zakupki.prom.ua/remote/dispatcher/state_purchase_view/39113728" ref="B7" r:id="rId6"/>
    <hyperlink display="https://my.zakupki.prom.ua/remote/dispatcher/state_contracting_view/14812392" ref="D7" r:id="rId7"/>
    <hyperlink display="https://my.zakupki.prom.ua/remote/dispatcher/state_purchase_view/39292751" ref="B8" r:id="rId8"/>
    <hyperlink display="https://my.zakupki.prom.ua/remote/dispatcher/state_contracting_view/14895980" ref="D8" r:id="rId9"/>
    <hyperlink display="https://my.zakupki.prom.ua/remote/dispatcher/state_purchase_view/38982335" ref="B9" r:id="rId10"/>
    <hyperlink display="https://my.zakupki.prom.ua/remote/dispatcher/state_purchase_lot_view/804794" ref="C9" r:id="rId11"/>
    <hyperlink display="https://my.zakupki.prom.ua/remote/dispatcher/state_contracting_view/15081130" ref="D9" r:id="rId12"/>
    <hyperlink display="https://my.zakupki.prom.ua/remote/dispatcher/state_purchase_view/39105130" ref="B10" r:id="rId13"/>
    <hyperlink display="https://my.zakupki.prom.ua/remote/dispatcher/state_contracting_view/14808425" ref="D10" r:id="rId14"/>
    <hyperlink display="https://my.zakupki.prom.ua/remote/dispatcher/state_purchase_view/39118205" ref="B11" r:id="rId15"/>
    <hyperlink display="https://my.zakupki.prom.ua/remote/dispatcher/state_contracting_view/14814685" ref="D11" r:id="rId16"/>
    <hyperlink display="https://my.zakupki.prom.ua/remote/dispatcher/state_purchase_view/38411488" ref="B12" r:id="rId17"/>
    <hyperlink display="https://my.zakupki.prom.ua/remote/dispatcher/state_contracting_view/14489619" ref="D12" r:id="rId18"/>
    <hyperlink display="https://my.zakupki.prom.ua/remote/dispatcher/state_purchase_view/38378453" ref="B13" r:id="rId19"/>
    <hyperlink display="https://my.zakupki.prom.ua/remote/dispatcher/state_purchase_lot_view/779391" ref="C13" r:id="rId20"/>
    <hyperlink display="https://my.zakupki.prom.ua/remote/dispatcher/state_contracting_view/14625343" ref="D13" r:id="rId21"/>
    <hyperlink display="https://my.zakupki.prom.ua/remote/dispatcher/state_purchase_view/39145004" ref="B14" r:id="rId22"/>
    <hyperlink display="https://my.zakupki.prom.ua/remote/dispatcher/state_contracting_view/14827170" ref="D14" r:id="rId23"/>
    <hyperlink display="https://my.zakupki.prom.ua/remote/dispatcher/state_purchase_view/38301302" ref="B15" r:id="rId24"/>
    <hyperlink display="https://my.zakupki.prom.ua/remote/dispatcher/state_contracting_view/14437815" ref="D15" r:id="rId25"/>
    <hyperlink display="https://my.zakupki.prom.ua/remote/dispatcher/state_purchase_view/35592276" ref="B16" r:id="rId26"/>
    <hyperlink display="https://my.zakupki.prom.ua/remote/dispatcher/state_contracting_view/13092289" ref="D16" r:id="rId27"/>
    <hyperlink display="https://my.zakupki.prom.ua/remote/dispatcher/state_purchase_view/35635626" ref="B17" r:id="rId28"/>
    <hyperlink display="https://my.zakupki.prom.ua/remote/dispatcher/state_contracting_view/13116821" ref="D17" r:id="rId29"/>
    <hyperlink display="https://my.zakupki.prom.ua/remote/dispatcher/state_purchase_view/35790018" ref="B18" r:id="rId30"/>
    <hyperlink display="https://my.zakupki.prom.ua/remote/dispatcher/state_contracting_view/13201132" ref="D18" r:id="rId31"/>
    <hyperlink display="https://my.zakupki.prom.ua/remote/dispatcher/state_purchase_view/34904644" ref="B19" r:id="rId32"/>
    <hyperlink display="https://my.zakupki.prom.ua/remote/dispatcher/state_contracting_view/12952033" ref="D19" r:id="rId33"/>
    <hyperlink display="https://my.zakupki.prom.ua/remote/dispatcher/state_purchase_view/35293132" ref="B20" r:id="rId34"/>
    <hyperlink display="https://my.zakupki.prom.ua/remote/dispatcher/state_contracting_view/12944268" ref="D20" r:id="rId35"/>
    <hyperlink display="https://my.zakupki.prom.ua/remote/dispatcher/state_purchase_view/35300760" ref="B21" r:id="rId36"/>
    <hyperlink display="https://my.zakupki.prom.ua/remote/dispatcher/state_contracting_view/12956036" ref="D21" r:id="rId37"/>
    <hyperlink display="https://my.zakupki.prom.ua/remote/dispatcher/state_purchase_view/35206639" ref="B22" r:id="rId38"/>
    <hyperlink display="https://my.zakupki.prom.ua/remote/dispatcher/state_contracting_view/12903095" ref="D22" r:id="rId39"/>
    <hyperlink display="https://my.zakupki.prom.ua/remote/dispatcher/state_purchase_view/35231496" ref="B23" r:id="rId40"/>
    <hyperlink display="https://my.zakupki.prom.ua/remote/dispatcher/state_contracting_view/12915264" ref="D23" r:id="rId41"/>
    <hyperlink display="https://my.zakupki.prom.ua/remote/dispatcher/state_purchase_view/35104760" ref="B24" r:id="rId42"/>
    <hyperlink display="https://my.zakupki.prom.ua/remote/dispatcher/state_contracting_view/12854275" ref="D24" r:id="rId43"/>
    <hyperlink display="https://my.zakupki.prom.ua/remote/dispatcher/state_purchase_view/34027251" ref="B25" r:id="rId44"/>
    <hyperlink display="https://my.zakupki.prom.ua/remote/dispatcher/state_contracting_view/12374630" ref="D25" r:id="rId45"/>
    <hyperlink display="https://my.zakupki.prom.ua/remote/dispatcher/state_purchase_view/34784471" ref="B26" r:id="rId46"/>
    <hyperlink display="https://my.zakupki.prom.ua/remote/dispatcher/state_contracting_view/12704477" ref="D26" r:id="rId47"/>
    <hyperlink display="https://my.zakupki.prom.ua/remote/dispatcher/state_purchase_view/34533511" ref="B27" r:id="rId48"/>
    <hyperlink display="https://my.zakupki.prom.ua/remote/dispatcher/state_contracting_view/12591103" ref="D27" r:id="rId49"/>
    <hyperlink display="https://my.zakupki.prom.ua/remote/dispatcher/state_purchase_view/34928261" ref="B28" r:id="rId50"/>
    <hyperlink display="https://my.zakupki.prom.ua/remote/dispatcher/state_contracting_view/12771191" ref="D28" r:id="rId51"/>
    <hyperlink display="https://my.zakupki.prom.ua/remote/dispatcher/state_purchase_view/34944511" ref="B29" r:id="rId52"/>
    <hyperlink display="https://my.zakupki.prom.ua/remote/dispatcher/state_contracting_view/12784893" ref="D29" r:id="rId53"/>
    <hyperlink display="https://my.zakupki.prom.ua/remote/dispatcher/state_purchase_view/36326215" ref="B30" r:id="rId54"/>
    <hyperlink display="https://my.zakupki.prom.ua/remote/dispatcher/state_contracting_view/13474429" ref="D30" r:id="rId55"/>
    <hyperlink display="https://my.zakupki.prom.ua/remote/dispatcher/state_purchase_view/36240764" ref="B31" r:id="rId56"/>
    <hyperlink display="https://my.zakupki.prom.ua/remote/dispatcher/state_contracting_view/13431925" ref="D31" r:id="rId57"/>
    <hyperlink display="https://my.zakupki.prom.ua/remote/dispatcher/state_purchase_view/36224391" ref="B32" r:id="rId58"/>
    <hyperlink display="https://my.zakupki.prom.ua/remote/dispatcher/state_contracting_view/13421987" ref="D32" r:id="rId59"/>
    <hyperlink display="https://my.zakupki.prom.ua/remote/dispatcher/state_purchase_view/36171066" ref="B33" r:id="rId60"/>
    <hyperlink display="https://my.zakupki.prom.ua/remote/dispatcher/state_contracting_view/13394142" ref="D33" r:id="rId61"/>
    <hyperlink display="https://my.zakupki.prom.ua/remote/dispatcher/state_purchase_view/36347193" ref="B34" r:id="rId62"/>
    <hyperlink display="https://my.zakupki.prom.ua/remote/dispatcher/state_contracting_view/13484898" ref="D34" r:id="rId63"/>
    <hyperlink display="https://my.zakupki.prom.ua/remote/dispatcher/state_purchase_view/36639134" ref="B35" r:id="rId64"/>
    <hyperlink display="https://my.zakupki.prom.ua/remote/dispatcher/state_contracting_view/13629935" ref="D35" r:id="rId65"/>
    <hyperlink display="https://my.zakupki.prom.ua/remote/dispatcher/state_purchase_view/36673563" ref="B36" r:id="rId66"/>
    <hyperlink display="https://my.zakupki.prom.ua/remote/dispatcher/state_contracting_view/13646144" ref="D36" r:id="rId67"/>
    <hyperlink display="https://my.zakupki.prom.ua/remote/dispatcher/state_purchase_view/36720214" ref="B37" r:id="rId68"/>
    <hyperlink display="https://my.zakupki.prom.ua/remote/dispatcher/state_contracting_view/13667537" ref="D37" r:id="rId69"/>
    <hyperlink display="https://my.zakupki.prom.ua/remote/dispatcher/state_purchase_view/36707215" ref="B38" r:id="rId70"/>
    <hyperlink display="https://my.zakupki.prom.ua/remote/dispatcher/state_contracting_view/13661654" ref="D38" r:id="rId71"/>
    <hyperlink display="https://my.zakupki.prom.ua/remote/dispatcher/state_purchase_view/36823400" ref="B39" r:id="rId72"/>
    <hyperlink display="https://my.zakupki.prom.ua/remote/dispatcher/state_contracting_view/13716000" ref="D39" r:id="rId73"/>
    <hyperlink display="https://my.zakupki.prom.ua/remote/dispatcher/state_purchase_view/36840356" ref="B40" r:id="rId74"/>
    <hyperlink display="https://my.zakupki.prom.ua/remote/dispatcher/state_contracting_view/13723869" ref="D40" r:id="rId75"/>
    <hyperlink display="https://my.zakupki.prom.ua/remote/dispatcher/state_purchase_view/36865991" ref="B41" r:id="rId76"/>
    <hyperlink display="https://my.zakupki.prom.ua/remote/dispatcher/state_contracting_view/13736068" ref="D41" r:id="rId77"/>
    <hyperlink display="https://my.zakupki.prom.ua/remote/dispatcher/state_purchase_view/37410712" ref="B42" r:id="rId78"/>
    <hyperlink display="https://my.zakupki.prom.ua/remote/dispatcher/state_contracting_view/13997801" ref="D42" r:id="rId79"/>
    <hyperlink display="https://my.zakupki.prom.ua/remote/dispatcher/state_purchase_view/37669974" ref="B43" r:id="rId80"/>
    <hyperlink display="https://my.zakupki.prom.ua/remote/dispatcher/state_contracting_view/14124982" ref="D43" r:id="rId81"/>
    <hyperlink display="https://my.zakupki.prom.ua/remote/dispatcher/state_purchase_view/37714524" ref="B44" r:id="rId82"/>
    <hyperlink display="https://my.zakupki.prom.ua/remote/dispatcher/state_contracting_view/14147374" ref="D44" r:id="rId83"/>
    <hyperlink display="https://my.zakupki.prom.ua/remote/dispatcher/state_purchase_view/37050550" ref="B45" r:id="rId84"/>
    <hyperlink display="https://my.zakupki.prom.ua/remote/dispatcher/state_contracting_view/13823556" ref="D45" r:id="rId85"/>
    <hyperlink display="https://my.zakupki.prom.ua/remote/dispatcher/state_purchase_view/37882557" ref="B46" r:id="rId86"/>
    <hyperlink display="https://my.zakupki.prom.ua/remote/dispatcher/state_contracting_view/14229455" ref="D46" r:id="rId87"/>
    <hyperlink display="https://my.zakupki.prom.ua/remote/dispatcher/state_purchase_view/38363242" ref="B47" r:id="rId88"/>
    <hyperlink display="https://my.zakupki.prom.ua/remote/dispatcher/state_contracting_view/14466900" ref="D47" r:id="rId89"/>
    <hyperlink display="https://my.zakupki.prom.ua/remote/dispatcher/state_purchase_view/39677322" ref="B48" r:id="rId90"/>
    <hyperlink display="https://my.zakupki.prom.ua/remote/dispatcher/state_contracting_view/15079488" ref="D48" r:id="rId91"/>
    <hyperlink display="https://my.zakupki.prom.ua/remote/dispatcher/state_purchase_view/39691601" ref="B49" r:id="rId92"/>
    <hyperlink display="https://my.zakupki.prom.ua/remote/dispatcher/state_contracting_view/15086595" ref="D49" r:id="rId93"/>
    <hyperlink display="https://my.zakupki.prom.ua/remote/dispatcher/state_purchase_view/38506429" ref="B50" r:id="rId94"/>
    <hyperlink display="https://my.zakupki.prom.ua/remote/dispatcher/state_contracting_view/14533472" ref="D50" r:id="rId95"/>
    <hyperlink display="https://my.zakupki.prom.ua/remote/dispatcher/state_purchase_view/38560583" ref="B51" r:id="rId96"/>
    <hyperlink display="https://my.zakupki.prom.ua/remote/dispatcher/state_contracting_view/14558425" ref="D51" r:id="rId97"/>
    <hyperlink display="https://my.zakupki.prom.ua/remote/dispatcher/state_purchase_view/39145856" ref="B52" r:id="rId98"/>
    <hyperlink display="https://my.zakupki.prom.ua/remote/dispatcher/state_contracting_view/14828388" ref="D52" r:id="rId99"/>
    <hyperlink display="https://my.zakupki.prom.ua/remote/dispatcher/state_purchase_view/39768884" ref="B53" r:id="rId100"/>
    <hyperlink display="https://my.zakupki.prom.ua/remote/dispatcher/state_contracting_view/15123786" ref="D53" r:id="rId101"/>
    <hyperlink display="https://my.zakupki.prom.ua/remote/dispatcher/state_purchase_view/39791699" ref="B54" r:id="rId102"/>
    <hyperlink display="https://my.zakupki.prom.ua/remote/dispatcher/state_contracting_view/15134958" ref="D54" r:id="rId103"/>
    <hyperlink display="https://my.zakupki.prom.ua/remote/dispatcher/state_purchase_view/38920161" ref="B55" r:id="rId104"/>
    <hyperlink display="https://my.zakupki.prom.ua/remote/dispatcher/state_contracting_view/14724318" ref="D55" r:id="rId105"/>
    <hyperlink display="https://my.zakupki.prom.ua/remote/dispatcher/state_purchase_view/38607520" ref="B56" r:id="rId106"/>
    <hyperlink display="https://my.zakupki.prom.ua/remote/dispatcher/state_purchase_lot_view/788526" ref="C56" r:id="rId107"/>
    <hyperlink display="https://my.zakupki.prom.ua/remote/dispatcher/state_contracting_view/14766210" ref="D56" r:id="rId108"/>
    <hyperlink display="https://my.zakupki.prom.ua/remote/dispatcher/state_purchase_view/39185397" ref="B57" r:id="rId109"/>
    <hyperlink display="https://my.zakupki.prom.ua/remote/dispatcher/state_contracting_view/14845462" ref="D57" r:id="rId110"/>
    <hyperlink display="https://my.zakupki.prom.ua/remote/dispatcher/state_purchase_view/39355742" ref="B58" r:id="rId111"/>
    <hyperlink display="https://my.zakupki.prom.ua/remote/dispatcher/state_contracting_view/14925121" ref="D58" r:id="rId112"/>
    <hyperlink display="https://my.zakupki.prom.ua/remote/dispatcher/state_purchase_view/35948651" ref="B59" r:id="rId113"/>
    <hyperlink display="https://my.zakupki.prom.ua/remote/dispatcher/state_contracting_view/13280066" ref="D59" r:id="rId114"/>
    <hyperlink display="https://my.zakupki.prom.ua/remote/dispatcher/state_purchase_view/36224110" ref="B60" r:id="rId115"/>
    <hyperlink display="https://my.zakupki.prom.ua/remote/dispatcher/state_contracting_view/13421798" ref="D60" r:id="rId116"/>
    <hyperlink display="https://my.zakupki.prom.ua/remote/dispatcher/state_purchase_view/35947107" ref="B61" r:id="rId117"/>
    <hyperlink display="https://my.zakupki.prom.ua/remote/dispatcher/state_contracting_view/13279149" ref="D61" r:id="rId118"/>
    <hyperlink display="https://my.zakupki.prom.ua/remote/dispatcher/state_purchase_view/36124347" ref="B62" r:id="rId119"/>
    <hyperlink display="https://my.zakupki.prom.ua/remote/dispatcher/state_contracting_view/13368563" ref="D62" r:id="rId120"/>
    <hyperlink display="https://my.zakupki.prom.ua/remote/dispatcher/state_purchase_view/35983066" ref="B63" r:id="rId121"/>
    <hyperlink display="https://my.zakupki.prom.ua/remote/dispatcher/state_contracting_view/13298474" ref="D63" r:id="rId122"/>
    <hyperlink display="https://my.zakupki.prom.ua/remote/dispatcher/state_purchase_view/35983325" ref="B64" r:id="rId123"/>
    <hyperlink display="https://my.zakupki.prom.ua/remote/dispatcher/state_contracting_view/13298582" ref="D64" r:id="rId124"/>
    <hyperlink display="https://my.zakupki.prom.ua/remote/dispatcher/state_purchase_view/33236849" ref="B65" r:id="rId125"/>
    <hyperlink display="https://my.zakupki.prom.ua/remote/dispatcher/state_contracting_view/12375015" ref="D65" r:id="rId126"/>
    <hyperlink display="https://my.zakupki.prom.ua/remote/dispatcher/state_purchase_view/36371967" ref="B66" r:id="rId127"/>
    <hyperlink display="https://my.zakupki.prom.ua/remote/dispatcher/state_contracting_view/13497679" ref="D66" r:id="rId128"/>
    <hyperlink display="https://my.zakupki.prom.ua/remote/dispatcher/state_purchase_view/36387160" ref="B67" r:id="rId129"/>
    <hyperlink display="https://my.zakupki.prom.ua/remote/dispatcher/state_contracting_view/13505851" ref="D67" r:id="rId130"/>
    <hyperlink display="https://my.zakupki.prom.ua/remote/dispatcher/state_purchase_view/35623272" ref="B68" r:id="rId131"/>
    <hyperlink display="https://my.zakupki.prom.ua/remote/dispatcher/state_contracting_view/13109437" ref="D68" r:id="rId132"/>
    <hyperlink display="https://my.zakupki.prom.ua/remote/dispatcher/state_purchase_view/35623514" ref="B69" r:id="rId133"/>
    <hyperlink display="https://my.zakupki.prom.ua/remote/dispatcher/state_contracting_view/13110122" ref="D69" r:id="rId134"/>
    <hyperlink display="https://my.zakupki.prom.ua/remote/dispatcher/state_purchase_view/35802953" ref="B70" r:id="rId135"/>
    <hyperlink display="https://my.zakupki.prom.ua/remote/dispatcher/state_contracting_view/13205153" ref="D70" r:id="rId136"/>
    <hyperlink display="https://my.zakupki.prom.ua/remote/dispatcher/state_purchase_view/35711750" ref="B71" r:id="rId137"/>
    <hyperlink display="https://my.zakupki.prom.ua/remote/dispatcher/state_contracting_view/13156979" ref="D71" r:id="rId138"/>
    <hyperlink display="https://my.zakupki.prom.ua/remote/dispatcher/state_purchase_view/35599048" ref="B72" r:id="rId139"/>
    <hyperlink display="https://my.zakupki.prom.ua/remote/dispatcher/state_contracting_view/13095961" ref="D72" r:id="rId140"/>
    <hyperlink display="https://my.zakupki.prom.ua/remote/dispatcher/state_purchase_view/34911604" ref="B73" r:id="rId141"/>
    <hyperlink display="https://my.zakupki.prom.ua/remote/dispatcher/state_contracting_view/12776704" ref="D73" r:id="rId142"/>
    <hyperlink display="https://my.zakupki.prom.ua/remote/dispatcher/state_purchase_view/34974290" ref="B74" r:id="rId143"/>
    <hyperlink display="https://my.zakupki.prom.ua/remote/dispatcher/state_contracting_view/12798235" ref="D74" r:id="rId144"/>
    <hyperlink display="https://my.zakupki.prom.ua/remote/dispatcher/state_purchase_view/35051538" ref="B75" r:id="rId145"/>
    <hyperlink display="https://my.zakupki.prom.ua/remote/dispatcher/state_contracting_view/12840801" ref="D75" r:id="rId146"/>
    <hyperlink display="https://my.zakupki.prom.ua/remote/dispatcher/state_purchase_view/35556082" ref="B76" r:id="rId147"/>
    <hyperlink display="https://my.zakupki.prom.ua/remote/dispatcher/state_contracting_view/13073427" ref="D76" r:id="rId148"/>
    <hyperlink display="https://my.zakupki.prom.ua/remote/dispatcher/state_purchase_view/35556245" ref="B77" r:id="rId149"/>
    <hyperlink display="https://my.zakupki.prom.ua/remote/dispatcher/state_contracting_view/13073416" ref="D77" r:id="rId150"/>
    <hyperlink display="https://my.zakupki.prom.ua/remote/dispatcher/state_purchase_view/34566761" ref="B78" r:id="rId151"/>
    <hyperlink display="https://my.zakupki.prom.ua/remote/dispatcher/state_contracting_view/12603729" ref="D78" r:id="rId152"/>
    <hyperlink display="https://my.zakupki.prom.ua/remote/dispatcher/state_purchase_view/34407613" ref="B79" r:id="rId153"/>
    <hyperlink display="https://my.zakupki.prom.ua/remote/dispatcher/state_contracting_view/12529892" ref="D79" r:id="rId154"/>
    <hyperlink display="https://my.zakupki.prom.ua/remote/dispatcher/state_purchase_view/34374394" ref="B80" r:id="rId155"/>
    <hyperlink display="https://my.zakupki.prom.ua/remote/dispatcher/state_contracting_view/12514743" ref="D80" r:id="rId156"/>
    <hyperlink display="https://my.zakupki.prom.ua/remote/dispatcher/state_purchase_view/34531511" ref="B81" r:id="rId157"/>
    <hyperlink display="https://my.zakupki.prom.ua/remote/dispatcher/state_contracting_view/12604267" ref="D81" r:id="rId158"/>
    <hyperlink display="https://my.zakupki.prom.ua/remote/dispatcher/state_purchase_view/34894355" ref="B82" r:id="rId159"/>
    <hyperlink display="https://my.zakupki.prom.ua/remote/dispatcher/state_contracting_view/12951728" ref="D82" r:id="rId160"/>
    <hyperlink display="https://my.zakupki.prom.ua/remote/dispatcher/state_purchase_view/37953232" ref="B83" r:id="rId161"/>
    <hyperlink display="https://my.zakupki.prom.ua/remote/dispatcher/state_contracting_view/14263867" ref="D83" r:id="rId162"/>
    <hyperlink display="https://my.zakupki.prom.ua/remote/dispatcher/state_purchase_view/39701189" ref="B84" r:id="rId163"/>
    <hyperlink display="https://my.zakupki.prom.ua/remote/dispatcher/state_contracting_view/15091361" ref="D84" r:id="rId164"/>
    <hyperlink display="https://my.zakupki.prom.ua/remote/dispatcher/state_purchase_view/39787119" ref="B85" r:id="rId165"/>
    <hyperlink display="https://my.zakupki.prom.ua/remote/dispatcher/state_contracting_view/15132935" ref="D85" r:id="rId166"/>
    <hyperlink display="https://my.zakupki.prom.ua/remote/dispatcher/state_purchase_view/36749306" ref="B86" r:id="rId167"/>
    <hyperlink display="https://my.zakupki.prom.ua/remote/dispatcher/state_contracting_view/13681164" ref="D86" r:id="rId168"/>
    <hyperlink display="https://my.zakupki.prom.ua/remote/dispatcher/state_purchase_view/36754128" ref="B87" r:id="rId169"/>
    <hyperlink display="https://my.zakupki.prom.ua/remote/dispatcher/state_contracting_view/13683490" ref="D87" r:id="rId170"/>
    <hyperlink display="https://my.zakupki.prom.ua/remote/dispatcher/state_purchase_view/38647996" ref="B88" r:id="rId171"/>
    <hyperlink display="https://my.zakupki.prom.ua/remote/dispatcher/state_contracting_view/14599201" ref="D88" r:id="rId172"/>
    <hyperlink display="https://my.zakupki.prom.ua/remote/dispatcher/state_purchase_view/38497009" ref="B89" r:id="rId173"/>
    <hyperlink display="https://my.zakupki.prom.ua/remote/dispatcher/state_contracting_view/14529246" ref="D89" r:id="rId174"/>
    <hyperlink display="https://my.zakupki.prom.ua/remote/dispatcher/state_purchase_view/38666305" ref="B90" r:id="rId175"/>
    <hyperlink display="https://my.zakupki.prom.ua/remote/dispatcher/state_purchase_lot_view/790954" ref="C90" r:id="rId176"/>
    <hyperlink display="https://my.zakupki.prom.ua/remote/dispatcher/state_contracting_view/14767843" ref="D90" r:id="rId177"/>
    <hyperlink display="https://my.zakupki.prom.ua/remote/dispatcher/state_purchase_view/39077040" ref="B91" r:id="rId178"/>
    <hyperlink display="https://my.zakupki.prom.ua/remote/dispatcher/state_contracting_view/14795909" ref="D91" r:id="rId179"/>
    <hyperlink display="https://my.zakupki.prom.ua/remote/dispatcher/state_purchase_view/39166412" ref="B92" r:id="rId180"/>
    <hyperlink display="https://my.zakupki.prom.ua/remote/dispatcher/state_contracting_view/14836580" ref="D92" r:id="rId181"/>
    <hyperlink display="https://my.zakupki.prom.ua/remote/dispatcher/state_purchase_view/38045192" ref="B93" r:id="rId182"/>
    <hyperlink display="https://my.zakupki.prom.ua/remote/dispatcher/state_contracting_view/14309020" ref="D93" r:id="rId183"/>
    <hyperlink display="https://my.zakupki.prom.ua/remote/dispatcher/state_purchase_view/38139503" ref="B94" r:id="rId184"/>
    <hyperlink display="https://my.zakupki.prom.ua/remote/dispatcher/state_contracting_view/14359251" ref="D94" r:id="rId185"/>
    <hyperlink display="https://my.zakupki.prom.ua/remote/dispatcher/state_purchase_view/38261481" ref="B95" r:id="rId186"/>
    <hyperlink display="https://my.zakupki.prom.ua/remote/dispatcher/state_contracting_view/14418513" ref="D95" r:id="rId187"/>
    <hyperlink display="https://my.zakupki.prom.ua/remote/dispatcher/state_purchase_view/36524455" ref="B96" r:id="rId188"/>
    <hyperlink display="https://my.zakupki.prom.ua/remote/dispatcher/state_contracting_view/13574649" ref="D96" r:id="rId189"/>
    <hyperlink display="https://my.zakupki.prom.ua/remote/dispatcher/state_purchase_view/37564234" ref="B97" r:id="rId190"/>
    <hyperlink display="https://my.zakupki.prom.ua/remote/dispatcher/state_contracting_view/14072583" ref="D97" r:id="rId191"/>
    <hyperlink display="https://my.zakupki.prom.ua/remote/dispatcher/state_purchase_view/37569894" ref="B98" r:id="rId192"/>
    <hyperlink display="https://my.zakupki.prom.ua/remote/dispatcher/state_contracting_view/14077231" ref="D98" r:id="rId193"/>
    <hyperlink display="https://my.zakupki.prom.ua/remote/dispatcher/state_purchase_view/37709594" ref="B99" r:id="rId194"/>
    <hyperlink display="https://my.zakupki.prom.ua/remote/dispatcher/state_contracting_view/14144634" ref="D99" r:id="rId195"/>
    <hyperlink display="https://my.zakupki.prom.ua/remote/dispatcher/state_purchase_view/37750898" ref="B100" r:id="rId196"/>
    <hyperlink display="https://my.zakupki.prom.ua/remote/dispatcher/state_contracting_view/14165268" ref="D100" r:id="rId197"/>
    <hyperlink display="https://my.zakupki.prom.ua/remote/dispatcher/state_purchase_view/37879168" ref="B101" r:id="rId198"/>
    <hyperlink display="https://my.zakupki.prom.ua/remote/dispatcher/state_contracting_view/14227531" ref="D101" r:id="rId199"/>
    <hyperlink display="https://my.zakupki.prom.ua/remote/dispatcher/state_purchase_view/37325602" ref="B102" r:id="rId200"/>
    <hyperlink display="https://my.zakupki.prom.ua/remote/dispatcher/state_contracting_view/13957302" ref="D102" r:id="rId201"/>
    <hyperlink display="https://my.zakupki.prom.ua/remote/dispatcher/state_purchase_view/37709344" ref="B103" r:id="rId202"/>
    <hyperlink display="https://my.zakupki.prom.ua/remote/dispatcher/state_contracting_view/14144582" ref="D103" r:id="rId203"/>
    <hyperlink display="https://my.zakupki.prom.ua/remote/dispatcher/state_purchase_view/36585018" ref="B104" r:id="rId204"/>
    <hyperlink display="https://my.zakupki.prom.ua/remote/dispatcher/state_contracting_view/13604745" ref="D104" r:id="rId205"/>
    <hyperlink display="https://my.zakupki.prom.ua/remote/dispatcher/state_purchase_view/36644203" ref="B105" r:id="rId206"/>
    <hyperlink display="https://my.zakupki.prom.ua/remote/dispatcher/state_contracting_view/13632412" ref="D105" r:id="rId207"/>
    <hyperlink display="https://my.zakupki.prom.ua/remote/dispatcher/state_purchase_view/36688215" ref="B106" r:id="rId208"/>
    <hyperlink display="https://my.zakupki.prom.ua/remote/dispatcher/state_contracting_view/13652865" ref="D106" r:id="rId209"/>
    <hyperlink display="https://my.zakupki.prom.ua/remote/dispatcher/state_purchase_view/36709290" ref="B107" r:id="rId210"/>
    <hyperlink display="https://my.zakupki.prom.ua/remote/dispatcher/state_contracting_view/13662575" ref="D107" r:id="rId211"/>
    <hyperlink display="https://my.zakupki.prom.ua/remote/dispatcher/state_purchase_view/37718138" ref="B108" r:id="rId212"/>
    <hyperlink display="https://my.zakupki.prom.ua/remote/dispatcher/state_contracting_view/14149069" ref="D108" r:id="rId213"/>
    <hyperlink display="https://my.zakupki.prom.ua/remote/dispatcher/state_purchase_view/37719715" ref="B109" r:id="rId214"/>
    <hyperlink display="https://my.zakupki.prom.ua/remote/dispatcher/state_contracting_view/14149840" ref="D109" r:id="rId215"/>
    <hyperlink display="https://my.zakupki.prom.ua/remote/dispatcher/state_purchase_view/34193614" ref="B110" r:id="rId216"/>
    <hyperlink display="https://my.zakupki.prom.ua/remote/dispatcher/state_contracting_view/12437456" ref="D110" r:id="rId217"/>
    <hyperlink display="https://my.zakupki.prom.ua/remote/dispatcher/state_purchase_view/35833942" ref="B111" r:id="rId218"/>
    <hyperlink display="https://my.zakupki.prom.ua/remote/dispatcher/state_contracting_view/13221353" ref="D111" r:id="rId219"/>
    <hyperlink display="https://my.zakupki.prom.ua/remote/dispatcher/state_purchase_view/35079261" ref="B112" r:id="rId220"/>
    <hyperlink display="https://my.zakupki.prom.ua/remote/dispatcher/state_contracting_view/12842091" ref="D112" r:id="rId221"/>
    <hyperlink display="https://my.zakupki.prom.ua/remote/dispatcher/state_purchase_view/35637406" ref="B113" r:id="rId222"/>
    <hyperlink display="https://my.zakupki.prom.ua/remote/dispatcher/state_contracting_view/13117034" ref="D113" r:id="rId223"/>
    <hyperlink display="https://my.zakupki.prom.ua/remote/dispatcher/state_purchase_view/35625869" ref="B114" r:id="rId224"/>
    <hyperlink display="https://my.zakupki.prom.ua/remote/dispatcher/state_contracting_view/13110428" ref="D114" r:id="rId225"/>
    <hyperlink display="https://my.zakupki.prom.ua/remote/dispatcher/state_purchase_view/36071612" ref="B115" r:id="rId226"/>
    <hyperlink display="https://my.zakupki.prom.ua/remote/dispatcher/state_contracting_view/13345159" ref="D115" r:id="rId227"/>
    <hyperlink display="https://my.zakupki.prom.ua/remote/dispatcher/state_purchase_view/34028975" ref="B116" r:id="rId228"/>
    <hyperlink display="https://my.zakupki.prom.ua/remote/dispatcher/state_contracting_view/12374221" ref="D116" r:id="rId229"/>
    <hyperlink display="https://my.zakupki.prom.ua/remote/dispatcher/state_purchase_view/33959263" ref="B117" r:id="rId230"/>
    <hyperlink display="https://my.zakupki.prom.ua/remote/dispatcher/state_contracting_view/12348040" ref="D117" r:id="rId231"/>
    <hyperlink display="https://my.zakupki.prom.ua/remote/dispatcher/state_purchase_view/34810388" ref="B118" r:id="rId232"/>
    <hyperlink display="https://my.zakupki.prom.ua/remote/dispatcher/state_contracting_view/12719557" ref="D118" r:id="rId233"/>
    <hyperlink display="https://my.zakupki.prom.ua/remote/dispatcher/state_purchase_view/34793407" ref="B119" r:id="rId234"/>
    <hyperlink display="https://my.zakupki.prom.ua/remote/dispatcher/state_contracting_view/12718217" ref="D119" r:id="rId235"/>
    <hyperlink display="https://my.zakupki.prom.ua/remote/dispatcher/state_purchase_view/34574359" ref="B120" r:id="rId236"/>
    <hyperlink display="https://my.zakupki.prom.ua/remote/dispatcher/state_contracting_view/12604969" ref="D120" r:id="rId237"/>
    <hyperlink display="https://my.zakupki.prom.ua/remote/dispatcher/state_purchase_view/34781788" ref="B121" r:id="rId238"/>
    <hyperlink display="https://my.zakupki.prom.ua/remote/dispatcher/state_contracting_view/12718536" ref="D121" r:id="rId239"/>
    <hyperlink display="https://my.zakupki.prom.ua/remote/dispatcher/state_purchase_view/34995748" ref="B122" r:id="rId240"/>
    <hyperlink display="https://my.zakupki.prom.ua/remote/dispatcher/state_contracting_view/12816227" ref="D122" r:id="rId241"/>
    <hyperlink display="https://my.zakupki.prom.ua/remote/dispatcher/state_purchase_view/35925690" ref="B123" r:id="rId242"/>
    <hyperlink display="https://my.zakupki.prom.ua/remote/dispatcher/state_contracting_view/13268201" ref="D123" r:id="rId243"/>
    <hyperlink display="https://my.zakupki.prom.ua/remote/dispatcher/state_purchase_view/35527101" ref="B124" r:id="rId244"/>
    <hyperlink display="https://my.zakupki.prom.ua/remote/dispatcher/state_contracting_view/13057716" ref="D124" r:id="rId245"/>
    <hyperlink display="https://my.zakupki.prom.ua/remote/dispatcher/state_purchase_view/35803204" ref="B125" r:id="rId246"/>
    <hyperlink display="https://my.zakupki.prom.ua/remote/dispatcher/state_contracting_view/13205310" ref="D125" r:id="rId247"/>
    <hyperlink display="https://my.zakupki.prom.ua/remote/dispatcher/state_purchase_view/35790205" ref="B126" r:id="rId248"/>
    <hyperlink display="https://my.zakupki.prom.ua/remote/dispatcher/state_contracting_view/13201134" ref="D126" r:id="rId249"/>
    <hyperlink display="https://my.zakupki.prom.ua/remote/dispatcher/state_purchase_view/36191381" ref="B127" r:id="rId250"/>
    <hyperlink display="https://my.zakupki.prom.ua/remote/dispatcher/state_contracting_view/13405076" ref="D127" r:id="rId251"/>
    <hyperlink display="https://my.zakupki.prom.ua/remote/dispatcher/state_purchase_view/36171236" ref="B128" r:id="rId252"/>
    <hyperlink display="https://my.zakupki.prom.ua/remote/dispatcher/state_contracting_view/13394002" ref="D128" r:id="rId253"/>
    <hyperlink display="https://my.zakupki.prom.ua/remote/dispatcher/state_purchase_view/34805557" ref="B129" r:id="rId254"/>
    <hyperlink display="https://my.zakupki.prom.ua/remote/dispatcher/state_contracting_view/13110696" ref="D129" r:id="rId255"/>
    <hyperlink display="https://my.zakupki.prom.ua/remote/dispatcher/state_purchase_view/37355252" ref="B130" r:id="rId256"/>
    <hyperlink display="https://my.zakupki.prom.ua/remote/dispatcher/state_contracting_view/13971222" ref="D130" r:id="rId257"/>
    <hyperlink display="https://my.zakupki.prom.ua/remote/dispatcher/state_purchase_view/37408783" ref="B131" r:id="rId258"/>
    <hyperlink display="https://my.zakupki.prom.ua/remote/dispatcher/state_contracting_view/13996950" ref="D131" r:id="rId259"/>
    <hyperlink display="https://my.zakupki.prom.ua/remote/dispatcher/state_purchase_view/37456653" ref="B132" r:id="rId260"/>
    <hyperlink display="https://my.zakupki.prom.ua/remote/dispatcher/state_contracting_view/14020884" ref="D132" r:id="rId261"/>
    <hyperlink display="https://my.zakupki.prom.ua/remote/dispatcher/state_purchase_view/37708539" ref="B133" r:id="rId262"/>
    <hyperlink display="https://my.zakupki.prom.ua/remote/dispatcher/state_contracting_view/14144124" ref="D133" r:id="rId263"/>
    <hyperlink display="https://my.zakupki.prom.ua/remote/dispatcher/state_purchase_view/39692223" ref="B134" r:id="rId264"/>
    <hyperlink display="https://my.zakupki.prom.ua/remote/dispatcher/state_contracting_view/15086895" ref="D134" r:id="rId265"/>
    <hyperlink display="https://my.zakupki.prom.ua/remote/dispatcher/state_purchase_view/39702036" ref="B135" r:id="rId266"/>
    <hyperlink display="https://my.zakupki.prom.ua/remote/dispatcher/state_contracting_view/15091549" ref="D135" r:id="rId267"/>
    <hyperlink display="https://my.zakupki.prom.ua/remote/dispatcher/state_purchase_view/39775820" ref="B136" r:id="rId268"/>
    <hyperlink display="https://my.zakupki.prom.ua/remote/dispatcher/state_contracting_view/15127789" ref="D136" r:id="rId269"/>
    <hyperlink display="https://my.zakupki.prom.ua/remote/dispatcher/state_purchase_view/37928559" ref="B137" r:id="rId270"/>
    <hyperlink display="https://my.zakupki.prom.ua/remote/dispatcher/state_contracting_view/14252091" ref="D137" r:id="rId271"/>
    <hyperlink display="https://my.zakupki.prom.ua/remote/dispatcher/state_purchase_view/38435332" ref="B138" r:id="rId272"/>
    <hyperlink display="https://my.zakupki.prom.ua/remote/dispatcher/state_contracting_view/14500767" ref="D138" r:id="rId273"/>
    <hyperlink display="https://my.zakupki.prom.ua/remote/dispatcher/state_purchase_view/38505619" ref="B139" r:id="rId274"/>
    <hyperlink display="https://my.zakupki.prom.ua/remote/dispatcher/state_contracting_view/14533206" ref="D139" r:id="rId275"/>
    <hyperlink display="https://my.zakupki.prom.ua/remote/dispatcher/state_purchase_view/38568136" ref="B140" r:id="rId276"/>
    <hyperlink display="https://my.zakupki.prom.ua/remote/dispatcher/state_contracting_view/14561767" ref="D140" r:id="rId277"/>
    <hyperlink display="https://my.zakupki.prom.ua/remote/dispatcher/state_purchase_view/35320697" ref="B141" r:id="rId278"/>
    <hyperlink display="https://my.zakupki.prom.ua/remote/dispatcher/state_contracting_view/12957477" ref="D141" r:id="rId279"/>
    <hyperlink display="https://my.zakupki.prom.ua/remote/dispatcher/state_purchase_view/36753772" ref="B142" r:id="rId280"/>
    <hyperlink display="https://my.zakupki.prom.ua/remote/dispatcher/state_contracting_view/13683416" ref="D142" r:id="rId281"/>
    <hyperlink display="https://my.zakupki.prom.ua/remote/dispatcher/state_purchase_view/36748493" ref="B143" r:id="rId282"/>
    <hyperlink display="https://my.zakupki.prom.ua/remote/dispatcher/state_contracting_view/13680734" ref="D143" r:id="rId283"/>
    <hyperlink display="https://my.zakupki.prom.ua/remote/dispatcher/state_purchase_view/36852249" ref="B144" r:id="rId284"/>
    <hyperlink display="https://my.zakupki.prom.ua/remote/dispatcher/state_contracting_view/13729566" ref="D144" r:id="rId285"/>
    <hyperlink display="https://my.zakupki.prom.ua/remote/dispatcher/state_purchase_view/36731572" ref="B145" r:id="rId286"/>
    <hyperlink display="https://my.zakupki.prom.ua/remote/dispatcher/state_contracting_view/13672705" ref="D145" r:id="rId287"/>
    <hyperlink display="https://my.zakupki.prom.ua/remote/dispatcher/state_purchase_view/36747845" ref="B146" r:id="rId288"/>
    <hyperlink display="https://my.zakupki.prom.ua/remote/dispatcher/state_contracting_view/13680516" ref="D146" r:id="rId289"/>
    <hyperlink display="https://my.zakupki.prom.ua/remote/dispatcher/state_purchase_view/36745167" ref="B147" r:id="rId290"/>
    <hyperlink display="https://my.zakupki.prom.ua/remote/dispatcher/state_contracting_view/13679264" ref="D147" r:id="rId291"/>
    <hyperlink display="https://my.zakupki.prom.ua/remote/dispatcher/state_purchase_view/33518297" ref="B148" r:id="rId292"/>
    <hyperlink display="https://my.zakupki.prom.ua/remote/dispatcher/state_contracting_view/12505782" ref="D148" r:id="rId293"/>
    <hyperlink display="https://my.zakupki.prom.ua/remote/dispatcher/state_purchase_view/33696174" ref="B149" r:id="rId294"/>
    <hyperlink display="https://my.zakupki.prom.ua/remote/dispatcher/state_contracting_view/12501011" ref="D149" r:id="rId295"/>
    <hyperlink display="https://my.zakupki.prom.ua/remote/dispatcher/state_purchase_view/35615994" ref="B150" r:id="rId296"/>
    <hyperlink display="https://my.zakupki.prom.ua/remote/dispatcher/state_contracting_view/13105530" ref="D150" r:id="rId297"/>
    <hyperlink display="https://my.zakupki.prom.ua/remote/dispatcher/state_purchase_view/35619082" ref="B151" r:id="rId298"/>
    <hyperlink display="https://my.zakupki.prom.ua/remote/dispatcher/state_contracting_view/13109360" ref="D151" r:id="rId299"/>
    <hyperlink display="https://my.zakupki.prom.ua/remote/dispatcher/state_purchase_view/35667171" ref="B152" r:id="rId300"/>
    <hyperlink display="https://my.zakupki.prom.ua/remote/dispatcher/state_contracting_view/13133302" ref="D152" r:id="rId301"/>
    <hyperlink display="https://my.zakupki.prom.ua/remote/dispatcher/state_purchase_view/35415054" ref="B153" r:id="rId302"/>
    <hyperlink display="https://my.zakupki.prom.ua/remote/dispatcher/state_contracting_view/13002699" ref="D153" r:id="rId303"/>
    <hyperlink display="https://my.zakupki.prom.ua/remote/dispatcher/state_purchase_view/34930428" ref="B154" r:id="rId304"/>
    <hyperlink display="https://my.zakupki.prom.ua/remote/dispatcher/state_contracting_view/12773347" ref="D154" r:id="rId305"/>
    <hyperlink display="https://my.zakupki.prom.ua/remote/dispatcher/state_purchase_view/34406291" ref="B155" r:id="rId306"/>
    <hyperlink display="https://my.zakupki.prom.ua/remote/dispatcher/state_contracting_view/12530242" ref="D155" r:id="rId307"/>
    <hyperlink display="https://my.zakupki.prom.ua/remote/dispatcher/state_purchase_view/35279931" ref="B156" r:id="rId308"/>
    <hyperlink display="https://my.zakupki.prom.ua/remote/dispatcher/state_contracting_view/12938221" ref="D156" r:id="rId309"/>
    <hyperlink display="https://my.zakupki.prom.ua/remote/dispatcher/state_purchase_view/35298176" ref="B157" r:id="rId310"/>
    <hyperlink display="https://my.zakupki.prom.ua/remote/dispatcher/state_contracting_view/12946578" ref="D157" r:id="rId311"/>
    <hyperlink display="https://my.zakupki.prom.ua/remote/dispatcher/state_purchase_view/39621609" ref="B158" r:id="rId312"/>
    <hyperlink display="https://my.zakupki.prom.ua/remote/dispatcher/state_contracting_view/15052545" ref="D158" r:id="rId313"/>
    <hyperlink display="https://my.zakupki.prom.ua/remote/dispatcher/state_purchase_view/39656415" ref="B159" r:id="rId314"/>
    <hyperlink display="https://my.zakupki.prom.ua/remote/dispatcher/state_contracting_view/15069264" ref="D159" r:id="rId315"/>
    <hyperlink display="https://my.zakupki.prom.ua/remote/dispatcher/state_purchase_view/39755168" ref="B160" r:id="rId316"/>
    <hyperlink display="https://my.zakupki.prom.ua/remote/dispatcher/state_contracting_view/15117090" ref="D160" r:id="rId317"/>
    <hyperlink display="https://my.zakupki.prom.ua/remote/dispatcher/state_purchase_view/39788229" ref="B161" r:id="rId318"/>
    <hyperlink display="https://my.zakupki.prom.ua/remote/dispatcher/state_contracting_view/15133464" ref="D161" r:id="rId319"/>
    <hyperlink display="https://my.zakupki.prom.ua/remote/dispatcher/state_purchase_view/37943598" ref="B162" r:id="rId320"/>
    <hyperlink display="https://my.zakupki.prom.ua/remote/dispatcher/state_contracting_view/14259314" ref="D162" r:id="rId321"/>
    <hyperlink display="https://my.zakupki.prom.ua/remote/dispatcher/state_purchase_view/38023009" ref="B163" r:id="rId322"/>
    <hyperlink display="https://my.zakupki.prom.ua/remote/dispatcher/state_contracting_view/14298126" ref="D163" r:id="rId323"/>
    <hyperlink display="https://my.zakupki.prom.ua/remote/dispatcher/state_purchase_view/38151500" ref="B164" r:id="rId324"/>
    <hyperlink display="https://my.zakupki.prom.ua/remote/dispatcher/state_contracting_view/14366849" ref="D164" r:id="rId325"/>
    <hyperlink display="https://my.zakupki.prom.ua/remote/dispatcher/state_purchase_view/39157344" ref="B165" r:id="rId326"/>
    <hyperlink display="https://my.zakupki.prom.ua/remote/dispatcher/state_contracting_view/14832511" ref="D165" r:id="rId327"/>
    <hyperlink display="https://my.zakupki.prom.ua/remote/dispatcher/state_purchase_view/37420791" ref="B166" r:id="rId328"/>
    <hyperlink display="https://my.zakupki.prom.ua/remote/dispatcher/state_contracting_view/14002721" ref="D166" r:id="rId329"/>
    <hyperlink display="https://my.zakupki.prom.ua/remote/dispatcher/state_purchase_view/37411255" ref="B167" r:id="rId330"/>
    <hyperlink display="https://my.zakupki.prom.ua/remote/dispatcher/state_contracting_view/13998372" ref="D167" r:id="rId331"/>
    <hyperlink display="https://my.zakupki.prom.ua/remote/dispatcher/state_purchase_view/37421111" ref="B168" r:id="rId332"/>
    <hyperlink display="https://my.zakupki.prom.ua/remote/dispatcher/state_contracting_view/14003055" ref="D168" r:id="rId333"/>
    <hyperlink display="https://my.zakupki.prom.ua/remote/dispatcher/state_purchase_view/37561809" ref="B169" r:id="rId334"/>
    <hyperlink display="https://my.zakupki.prom.ua/remote/dispatcher/state_contracting_view/14071420" ref="D169" r:id="rId335"/>
    <hyperlink display="https://my.zakupki.prom.ua/remote/dispatcher/state_purchase_view/37640536" ref="B170" r:id="rId336"/>
    <hyperlink display="https://my.zakupki.prom.ua/remote/dispatcher/state_contracting_view/14110290" ref="D170" r:id="rId337"/>
    <hyperlink display="https://my.zakupki.prom.ua/remote/dispatcher/state_purchase_view/37668140" ref="B171" r:id="rId338"/>
    <hyperlink display="https://my.zakupki.prom.ua/remote/dispatcher/state_contracting_view/14123867" ref="D171" r:id="rId339"/>
    <hyperlink display="https://my.zakupki.prom.ua/remote/dispatcher/state_purchase_view/37715634" ref="B172" r:id="rId340"/>
    <hyperlink display="https://my.zakupki.prom.ua/remote/dispatcher/state_contracting_view/14147901" ref="D172" r:id="rId341"/>
    <hyperlink display="https://my.zakupki.prom.ua/remote/dispatcher/state_purchase_view/36715127" ref="B173" r:id="rId342"/>
    <hyperlink display="https://my.zakupki.prom.ua/remote/dispatcher/state_contracting_view/13665362" ref="D173" r:id="rId343"/>
    <hyperlink display="https://my.zakupki.prom.ua/remote/dispatcher/state_purchase_view/36716240" ref="B174" r:id="rId344"/>
    <hyperlink display="https://my.zakupki.prom.ua/remote/dispatcher/state_contracting_view/13665763" ref="D174" r:id="rId345"/>
    <hyperlink display="https://my.zakupki.prom.ua/remote/dispatcher/state_purchase_view/36707420" ref="B175" r:id="rId346"/>
    <hyperlink display="https://my.zakupki.prom.ua/remote/dispatcher/state_contracting_view/13661850" ref="D175" r:id="rId347"/>
    <hyperlink display="https://my.zakupki.prom.ua/remote/dispatcher/state_purchase_view/36914768" ref="B176" r:id="rId348"/>
    <hyperlink display="https://my.zakupki.prom.ua/remote/dispatcher/state_contracting_view/13759258" ref="D176" r:id="rId349"/>
    <hyperlink display="https://my.zakupki.prom.ua/remote/dispatcher/state_purchase_view/37025047" ref="B177" r:id="rId350"/>
    <hyperlink display="https://my.zakupki.prom.ua/remote/dispatcher/state_contracting_view/13811214" ref="D177" r:id="rId351"/>
    <hyperlink display="https://my.zakupki.prom.ua/remote/dispatcher/state_purchase_view/37064878" ref="B178" r:id="rId352"/>
    <hyperlink display="https://my.zakupki.prom.ua/remote/dispatcher/state_contracting_view/13830589" ref="D178" r:id="rId353"/>
    <hyperlink display="https://my.zakupki.prom.ua/remote/dispatcher/state_purchase_view/32791117" ref="B179" r:id="rId354"/>
    <hyperlink display="https://my.zakupki.prom.ua/remote/dispatcher/state_contracting_view/12436009" ref="D179" r:id="rId355"/>
    <hyperlink display="https://my.zakupki.prom.ua/remote/dispatcher/state_purchase_view/35301216" ref="B180" r:id="rId356"/>
    <hyperlink display="https://my.zakupki.prom.ua/remote/dispatcher/state_contracting_view/12956265" ref="D180" r:id="rId357"/>
    <hyperlink display="https://my.zakupki.prom.ua/remote/dispatcher/state_purchase_view/35546306" ref="B181" r:id="rId358"/>
    <hyperlink display="https://my.zakupki.prom.ua/remote/dispatcher/state_contracting_view/13067991" ref="D181" r:id="rId359"/>
    <hyperlink display="https://my.zakupki.prom.ua/remote/dispatcher/state_purchase_view/34806023" ref="B182" r:id="rId360"/>
    <hyperlink display="https://my.zakupki.prom.ua/remote/dispatcher/state_contracting_view/13110788" ref="D182" r:id="rId361"/>
    <hyperlink display="https://my.zakupki.prom.ua/remote/dispatcher/state_purchase_view/35704615" ref="B183" r:id="rId362"/>
    <hyperlink display="https://my.zakupki.prom.ua/remote/dispatcher/state_contracting_view/13153654" ref="D183" r:id="rId363"/>
    <hyperlink display="https://my.zakupki.prom.ua/remote/dispatcher/state_purchase_view/35615758" ref="B184" r:id="rId364"/>
    <hyperlink display="https://my.zakupki.prom.ua/remote/dispatcher/state_contracting_view/13105353" ref="D184" r:id="rId365"/>
    <hyperlink display="https://my.zakupki.prom.ua/remote/dispatcher/state_purchase_view/35733186" ref="B185" r:id="rId366"/>
    <hyperlink display="https://my.zakupki.prom.ua/remote/dispatcher/state_contracting_view/13168211" ref="D185" r:id="rId367"/>
    <hyperlink display="https://my.zakupki.prom.ua/remote/dispatcher/state_purchase_view/35220323" ref="B186" r:id="rId368"/>
    <hyperlink display="https://my.zakupki.prom.ua/remote/dispatcher/state_contracting_view/12914834" ref="D186" r:id="rId369"/>
    <hyperlink display="https://my.zakupki.prom.ua/remote/dispatcher/state_purchase_view/35225717" ref="B187" r:id="rId370"/>
    <hyperlink display="https://my.zakupki.prom.ua/remote/dispatcher/state_contracting_view/12914718" ref="D187" r:id="rId371"/>
    <hyperlink display="https://my.zakupki.prom.ua/remote/dispatcher/state_purchase_view/35251380" ref="B188" r:id="rId372"/>
    <hyperlink display="https://my.zakupki.prom.ua/remote/dispatcher/state_contracting_view/12924614" ref="D188" r:id="rId373"/>
    <hyperlink display="https://my.zakupki.prom.ua/remote/dispatcher/state_purchase_view/35923351" ref="B189" r:id="rId374"/>
    <hyperlink display="https://my.zakupki.prom.ua/remote/dispatcher/state_contracting_view/13378624" ref="D189" r:id="rId375"/>
    <hyperlink display="https://my.zakupki.prom.ua/remote/dispatcher/state_purchase_view/36070776" ref="B190" r:id="rId376"/>
    <hyperlink display="https://my.zakupki.prom.ua/remote/dispatcher/state_contracting_view/13343638" ref="D190" r:id="rId377"/>
    <hyperlink display="https://my.zakupki.prom.ua/remote/dispatcher/state_purchase_view/34279880" ref="B191" r:id="rId378"/>
    <hyperlink display="https://my.zakupki.prom.ua/remote/dispatcher/state_contracting_view/12474278" ref="D191" r:id="rId379"/>
    <hyperlink display="https://my.zakupki.prom.ua/remote/dispatcher/state_purchase_view/34242974" ref="B192" r:id="rId380"/>
    <hyperlink display="https://my.zakupki.prom.ua/remote/dispatcher/state_contracting_view/12459173" ref="D192" r:id="rId381"/>
    <hyperlink display="https://my.zakupki.prom.ua/remote/dispatcher/state_purchase_view/34263092" ref="B193" r:id="rId382"/>
    <hyperlink display="https://my.zakupki.prom.ua/remote/dispatcher/state_contracting_view/12467406" ref="D193" r:id="rId383"/>
    <hyperlink display="https://my.zakupki.prom.ua/remote/dispatcher/state_purchase_view/34975968" ref="B194" r:id="rId384"/>
    <hyperlink display="https://my.zakupki.prom.ua/remote/dispatcher/state_contracting_view/12798528" ref="D194" r:id="rId385"/>
    <hyperlink display="https://my.zakupki.prom.ua/remote/dispatcher/state_purchase_view/34888817" ref="B195" r:id="rId386"/>
    <hyperlink display="https://my.zakupki.prom.ua/remote/dispatcher/state_contracting_view/12752970" ref="D195" r:id="rId387"/>
    <hyperlink display="https://my.zakupki.prom.ua/remote/dispatcher/state_purchase_view/35144075" ref="B196" r:id="rId388"/>
    <hyperlink display="https://my.zakupki.prom.ua/remote/dispatcher/state_contracting_view/12877627" ref="D196" r:id="rId389"/>
    <hyperlink display="https://my.zakupki.prom.ua/remote/dispatcher/state_purchase_view/35835032" ref="B197" r:id="rId390"/>
    <hyperlink display="https://my.zakupki.prom.ua/remote/dispatcher/state_contracting_view/13223166" ref="D197" r:id="rId391"/>
    <hyperlink display="https://my.zakupki.prom.ua/remote/dispatcher/state_purchase_view/35800343" ref="B198" r:id="rId392"/>
    <hyperlink display="https://my.zakupki.prom.ua/remote/dispatcher/state_contracting_view/13204282" ref="D198" r:id="rId393"/>
    <hyperlink display="https://my.zakupki.prom.ua/remote/dispatcher/state_purchase_view/34569532" ref="B199" r:id="rId394"/>
    <hyperlink display="https://my.zakupki.prom.ua/remote/dispatcher/state_contracting_view/12602779" ref="D199" r:id="rId395"/>
    <hyperlink display="https://my.zakupki.prom.ua/remote/dispatcher/state_purchase_view/34356298" ref="B200" r:id="rId396"/>
    <hyperlink display="https://my.zakupki.prom.ua/remote/dispatcher/state_contracting_view/12506817" ref="D200" r:id="rId397"/>
    <hyperlink display="https://my.zakupki.prom.ua/remote/dispatcher/state_purchase_view/35948898" ref="B201" r:id="rId398"/>
    <hyperlink display="https://my.zakupki.prom.ua/remote/dispatcher/state_contracting_view/13280237" ref="D201" r:id="rId399"/>
    <hyperlink display="https://my.zakupki.prom.ua/remote/dispatcher/state_purchase_view/38856955" ref="B202" r:id="rId400"/>
    <hyperlink display="https://my.zakupki.prom.ua/remote/dispatcher/state_contracting_view/14695306" ref="D202" r:id="rId401"/>
    <hyperlink display="https://my.zakupki.prom.ua/remote/dispatcher/state_purchase_view/38836718" ref="B203" r:id="rId402"/>
    <hyperlink display="https://my.zakupki.prom.ua/remote/dispatcher/state_contracting_view/14686824" ref="D203" r:id="rId403"/>
    <hyperlink display="https://my.zakupki.prom.ua/remote/dispatcher/state_purchase_view/38380329" ref="B204" r:id="rId404"/>
    <hyperlink display="https://my.zakupki.prom.ua/remote/dispatcher/state_purchase_lot_view/779451" ref="C204" r:id="rId405"/>
    <hyperlink display="https://my.zakupki.prom.ua/remote/dispatcher/state_contracting_view/14629029" ref="D204" r:id="rId406"/>
    <hyperlink display="https://my.zakupki.prom.ua/remote/dispatcher/state_purchase_view/38779019" ref="B205" r:id="rId407"/>
    <hyperlink display="https://my.zakupki.prom.ua/remote/dispatcher/state_contracting_view/14659555" ref="D205" r:id="rId408"/>
    <hyperlink display="https://my.zakupki.prom.ua/remote/dispatcher/state_purchase_view/38152070" ref="B206" r:id="rId409"/>
    <hyperlink display="https://my.zakupki.prom.ua/remote/dispatcher/state_contracting_view/14367168" ref="D206" r:id="rId410"/>
    <hyperlink display="https://my.zakupki.prom.ua/remote/dispatcher/state_purchase_view/37691861" ref="B207" r:id="rId411"/>
    <hyperlink display="https://my.zakupki.prom.ua/remote/dispatcher/state_contracting_view/14358091" ref="D207" r:id="rId412"/>
    <hyperlink display="https://my.zakupki.prom.ua/remote/dispatcher/state_purchase_view/38150267" ref="B208" r:id="rId413"/>
    <hyperlink display="https://my.zakupki.prom.ua/remote/dispatcher/state_contracting_view/14366412" ref="D208" r:id="rId414"/>
    <hyperlink display="https://my.zakupki.prom.ua/remote/dispatcher/state_purchase_view/36714876" ref="B209" r:id="rId415"/>
    <hyperlink display="https://my.zakupki.prom.ua/remote/dispatcher/state_contracting_view/13665307" ref="D209" r:id="rId416"/>
    <hyperlink display="https://my.zakupki.prom.ua/remote/dispatcher/state_purchase_view/36756190" ref="B210" r:id="rId417"/>
    <hyperlink display="https://my.zakupki.prom.ua/remote/dispatcher/state_contracting_view/13684481" ref="D210" r:id="rId418"/>
    <hyperlink display="https://my.zakupki.prom.ua/remote/dispatcher/state_purchase_view/36914990" ref="B211" r:id="rId419"/>
    <hyperlink display="https://my.zakupki.prom.ua/remote/dispatcher/state_contracting_view/13759356" ref="D211" r:id="rId420"/>
    <hyperlink display="https://my.zakupki.prom.ua/remote/dispatcher/state_purchase_view/37325782" ref="B212" r:id="rId421"/>
    <hyperlink display="https://my.zakupki.prom.ua/remote/dispatcher/state_contracting_view/13957274" ref="D212" r:id="rId422"/>
    <hyperlink display="https://my.zakupki.prom.ua/remote/dispatcher/state_purchase_view/37398680" ref="B213" r:id="rId423"/>
    <hyperlink display="https://my.zakupki.prom.ua/remote/dispatcher/state_contracting_view/13992351" ref="D213" r:id="rId424"/>
    <hyperlink display="https://my.zakupki.prom.ua/remote/dispatcher/state_purchase_view/37751261" ref="B214" r:id="rId425"/>
    <hyperlink display="https://my.zakupki.prom.ua/remote/dispatcher/state_contracting_view/14165499" ref="D214" r:id="rId426"/>
    <hyperlink display="https://my.zakupki.prom.ua/remote/dispatcher/state_purchase_view/37751415" ref="B215" r:id="rId427"/>
    <hyperlink display="https://my.zakupki.prom.ua/remote/dispatcher/state_contracting_view/14165451" ref="D215" r:id="rId428"/>
    <hyperlink display="https://my.zakupki.prom.ua/remote/dispatcher/state_purchase_view/37859595" ref="B216" r:id="rId429"/>
    <hyperlink display="https://my.zakupki.prom.ua/remote/dispatcher/state_contracting_view/14218830" ref="D216" r:id="rId430"/>
    <hyperlink display="https://my.zakupki.prom.ua/remote/dispatcher/state_purchase_view/37859897" ref="B217" r:id="rId431"/>
    <hyperlink display="https://my.zakupki.prom.ua/remote/dispatcher/state_contracting_view/14219338" ref="D217" r:id="rId432"/>
    <hyperlink display="https://my.zakupki.prom.ua/remote/dispatcher/state_purchase_view/39743002" ref="B218" r:id="rId433"/>
    <hyperlink display="https://my.zakupki.prom.ua/remote/dispatcher/state_contracting_view/15110892" ref="D218" r:id="rId434"/>
    <hyperlink display="https://my.zakupki.prom.ua/remote/dispatcher/state_purchase_view/39778800" ref="B219" r:id="rId435"/>
    <hyperlink display="https://my.zakupki.prom.ua/remote/dispatcher/state_contracting_view/15129002" ref="D219" r:id="rId436"/>
    <hyperlink display="https://my.zakupki.prom.ua/remote/dispatcher/state_purchase_view/39693520" ref="B220" r:id="rId437"/>
    <hyperlink display="https://my.zakupki.prom.ua/remote/dispatcher/state_contracting_view/15087482" ref="D220" r:id="rId438"/>
    <hyperlink display="https://my.zakupki.prom.ua/remote/dispatcher/state_purchase_view/39165620" ref="B221" r:id="rId439"/>
    <hyperlink display="https://my.zakupki.prom.ua/remote/dispatcher/state_contracting_view/14836194" ref="D221" r:id="rId440"/>
    <hyperlink display="https://my.zakupki.prom.ua/remote/dispatcher/state_purchase_view/39167681" ref="B222" r:id="rId441"/>
    <hyperlink display="https://my.zakupki.prom.ua/remote/dispatcher/state_contracting_view/14837526" ref="D222" r:id="rId442"/>
    <hyperlink display="https://my.zakupki.prom.ua/remote/dispatcher/state_purchase_view/38658158" ref="B223" r:id="rId443"/>
    <hyperlink display="https://my.zakupki.prom.ua/remote/dispatcher/state_purchase_lot_view/790623" ref="C223" r:id="rId444"/>
    <hyperlink display="https://my.zakupki.prom.ua/remote/dispatcher/state_contracting_view/14769361" ref="D223" r:id="rId445"/>
    <hyperlink display="https://my.zakupki.prom.ua/remote/dispatcher/state_purchase_view/39101604" ref="B224" r:id="rId446"/>
    <hyperlink display="https://my.zakupki.prom.ua/remote/dispatcher/state_contracting_view/14806928" ref="D224" r:id="rId447"/>
    <hyperlink display="https://my.zakupki.prom.ua/remote/dispatcher/state_purchase_view/39474636" ref="B225" r:id="rId448"/>
    <hyperlink display="https://my.zakupki.prom.ua/remote/dispatcher/state_contracting_view/14981218" ref="D225" r:id="rId449"/>
    <hyperlink display="https://my.zakupki.prom.ua/remote/dispatcher/state_purchase_view/39692705" ref="B226" r:id="rId450"/>
    <hyperlink display="https://my.zakupki.prom.ua/remote/dispatcher/state_contracting_view/15087085" ref="D226" r:id="rId451"/>
    <hyperlink display="https://my.zakupki.prom.ua/remote/dispatcher/state_purchase_view/35864739" ref="B227" r:id="rId452"/>
    <hyperlink display="https://my.zakupki.prom.ua/remote/dispatcher/state_contracting_view/13237309" ref="D227" r:id="rId453"/>
    <hyperlink display="https://my.zakupki.prom.ua/remote/dispatcher/state_purchase_view/35638007" ref="B228" r:id="rId454"/>
    <hyperlink display="https://my.zakupki.prom.ua/remote/dispatcher/state_contracting_view/13117367" ref="D228" r:id="rId455"/>
    <hyperlink display="https://my.zakupki.prom.ua/remote/dispatcher/state_purchase_view/36708879" ref="B229" r:id="rId456"/>
    <hyperlink display="https://my.zakupki.prom.ua/remote/dispatcher/state_contracting_view/13662457" ref="D229" r:id="rId457"/>
    <hyperlink display="https://my.zakupki.prom.ua/remote/dispatcher/state_purchase_view/36744815" ref="B230" r:id="rId458"/>
    <hyperlink display="https://my.zakupki.prom.ua/remote/dispatcher/state_contracting_view/13679007" ref="D230" r:id="rId459"/>
    <hyperlink display="https://my.zakupki.prom.ua/remote/dispatcher/state_purchase_view/37409261" ref="B231" r:id="rId460"/>
    <hyperlink display="https://my.zakupki.prom.ua/remote/dispatcher/state_contracting_view/13997330" ref="D231" r:id="rId461"/>
    <hyperlink display="https://my.zakupki.prom.ua/remote/dispatcher/state_purchase_view/37640108" ref="B232" r:id="rId462"/>
    <hyperlink display="https://my.zakupki.prom.ua/remote/dispatcher/state_contracting_view/14110113" ref="D232" r:id="rId463"/>
    <hyperlink display="https://my.zakupki.prom.ua/remote/dispatcher/state_purchase_view/39536225" ref="B233" r:id="rId464"/>
    <hyperlink display="https://my.zakupki.prom.ua/remote/dispatcher/state_contracting_view/15011491" ref="D233" r:id="rId465"/>
    <hyperlink display="https://my.zakupki.prom.ua/remote/dispatcher/state_purchase_view/39571084" ref="B234" r:id="rId466"/>
    <hyperlink display="https://my.zakupki.prom.ua/remote/dispatcher/state_contracting_view/15028125" ref="D234" r:id="rId467"/>
    <hyperlink display="https://my.zakupki.prom.ua/remote/dispatcher/state_purchase_view/39574706" ref="B235" r:id="rId468"/>
    <hyperlink display="https://my.zakupki.prom.ua/remote/dispatcher/state_contracting_view/15029998" ref="D235" r:id="rId469"/>
    <hyperlink display="https://my.zakupki.prom.ua/remote/dispatcher/state_purchase_view/38937115" ref="B236" r:id="rId470"/>
    <hyperlink display="https://my.zakupki.prom.ua/remote/dispatcher/state_contracting_view/14731614" ref="D236" r:id="rId471"/>
    <hyperlink display="https://my.zakupki.prom.ua/remote/dispatcher/state_purchase_view/38648507" ref="B237" r:id="rId472"/>
    <hyperlink display="https://my.zakupki.prom.ua/remote/dispatcher/state_contracting_view/14599192" ref="D237" r:id="rId473"/>
    <hyperlink display="https://my.zakupki.prom.ua/remote/dispatcher/state_purchase_view/38090413" ref="B238" r:id="rId474"/>
    <hyperlink display="https://my.zakupki.prom.ua/remote/dispatcher/state_contracting_view/14332885" ref="D238" r:id="rId475"/>
    <hyperlink display="https://my.zakupki.prom.ua/remote/dispatcher/state_purchase_view/38781470" ref="B239" r:id="rId476"/>
    <hyperlink display="https://my.zakupki.prom.ua/remote/dispatcher/state_contracting_view/14661059" ref="D239" r:id="rId477"/>
    <hyperlink display="https://my.zakupki.prom.ua/remote/dispatcher/state_purchase_view/35802477" ref="B240" r:id="rId478"/>
    <hyperlink display="https://my.zakupki.prom.ua/remote/dispatcher/state_contracting_view/13204910" ref="D240" r:id="rId479"/>
    <hyperlink display="https://my.zakupki.prom.ua/remote/dispatcher/state_purchase_view/35686506" ref="B241" r:id="rId480"/>
    <hyperlink display="https://my.zakupki.prom.ua/remote/dispatcher/state_contracting_view/13143508" ref="D241" r:id="rId481"/>
    <hyperlink display="https://my.zakupki.prom.ua/remote/dispatcher/state_purchase_view/34450110" ref="B242" r:id="rId482"/>
    <hyperlink display="https://my.zakupki.prom.ua/remote/dispatcher/state_contracting_view/12552148" ref="D242" r:id="rId483"/>
    <hyperlink display="https://my.zakupki.prom.ua/remote/dispatcher/state_purchase_view/34535424" ref="B243" r:id="rId484"/>
    <hyperlink display="https://my.zakupki.prom.ua/remote/dispatcher/state_contracting_view/12591027" ref="D243" r:id="rId485"/>
    <hyperlink display="https://my.zakupki.prom.ua/remote/dispatcher/state_purchase_view/35500128" ref="B244" r:id="rId486"/>
    <hyperlink display="https://my.zakupki.prom.ua/remote/dispatcher/state_contracting_view/13045817" ref="D244" r:id="rId487"/>
    <hyperlink display="https://my.zakupki.prom.ua/remote/dispatcher/state_purchase_view/33311350" ref="B245" r:id="rId488"/>
    <hyperlink display="https://my.zakupki.prom.ua/remote/dispatcher/state_contracting_view/12394815" ref="D245" r:id="rId489"/>
    <hyperlink display="https://my.zakupki.prom.ua/remote/dispatcher/state_purchase_view/34143328" ref="B246" r:id="rId490"/>
    <hyperlink display="https://my.zakupki.prom.ua/remote/dispatcher/state_contracting_view/12416256" ref="D246" r:id="rId491"/>
    <hyperlink display="https://my.zakupki.prom.ua/remote/dispatcher/state_purchase_view/34144686" ref="B247" r:id="rId492"/>
    <hyperlink display="https://my.zakupki.prom.ua/remote/dispatcher/state_contracting_view/12416851" ref="D247" r:id="rId493"/>
    <hyperlink display="https://my.zakupki.prom.ua/remote/dispatcher/state_purchase_view/34157309" ref="B248" r:id="rId494"/>
    <hyperlink display="https://my.zakupki.prom.ua/remote/dispatcher/state_contracting_view/12719288" ref="D248" r:id="rId495"/>
    <hyperlink display="https://my.zakupki.prom.ua/remote/dispatcher/state_purchase_view/34924128" ref="B249" r:id="rId496"/>
    <hyperlink display="https://my.zakupki.prom.ua/remote/dispatcher/state_contracting_view/12769348" ref="D249" r:id="rId497"/>
    <hyperlink display="https://my.zakupki.prom.ua/remote/dispatcher/state_purchase_view/34794892" ref="B250" r:id="rId498"/>
    <hyperlink display="https://my.zakupki.prom.ua/remote/dispatcher/state_contracting_view/12719101" ref="D250" r:id="rId499"/>
    <hyperlink display="https://my.zakupki.prom.ua/remote/dispatcher/state_purchase_view/36428275" ref="B251" r:id="rId500"/>
    <hyperlink display="https://my.zakupki.prom.ua/remote/dispatcher/state_contracting_view/13526340" ref="D251" r:id="rId501"/>
    <hyperlink display="https://my.zakupki.prom.ua/remote/dispatcher/state_purchase_view/33962800" ref="B252" r:id="rId502"/>
    <hyperlink display="https://my.zakupki.prom.ua/remote/dispatcher/state_contracting_view/12840607" ref="D252" r:id="rId503"/>
    <hyperlink display="https://my.zakupki.prom.ua/remote/dispatcher/state_purchase_view/36223946" ref="B253" r:id="rId504"/>
    <hyperlink display="https://my.zakupki.prom.ua/remote/dispatcher/state_contracting_view/13421744" ref="D253" r:id="rId505"/>
    <hyperlink display="https://my.zakupki.prom.ua/remote/dispatcher/state_purchase_view/35615844" ref="B254" r:id="rId506"/>
    <hyperlink display="https://my.zakupki.prom.ua/remote/dispatcher/state_contracting_view/13105537" ref="D254" r:id="rId507"/>
    <hyperlink display="https://my.zakupki.prom.ua/remote/dispatcher/state_purchase_view/35597989" ref="B255" r:id="rId508"/>
    <hyperlink display="https://my.zakupki.prom.ua/remote/dispatcher/state_contracting_view/13097845" ref="D255" r:id="rId509"/>
    <hyperlink display="https://my.zakupki.prom.ua/remote/dispatcher/state_purchase_view/35486812" ref="B256" r:id="rId510"/>
    <hyperlink display="https://my.zakupki.prom.ua/remote/dispatcher/state_contracting_view/13139821" ref="D256" r:id="rId511"/>
    <hyperlink display="https://my.zakupki.prom.ua/remote/dispatcher/state_purchase_view/35821170" ref="B257" r:id="rId512"/>
    <hyperlink display="https://my.zakupki.prom.ua/remote/dispatcher/state_contracting_view/13215025" ref="D257" r:id="rId513"/>
    <hyperlink display="https://my.zakupki.prom.ua/remote/dispatcher/state_purchase_view/35851961" ref="B258" r:id="rId514"/>
    <hyperlink display="https://my.zakupki.prom.ua/remote/dispatcher/state_contracting_view/13230551" ref="D258" r:id="rId515"/>
    <hyperlink display="https://my.zakupki.prom.ua/remote/dispatcher/state_purchase_view/35952236" ref="B259" r:id="rId516"/>
    <hyperlink display="https://my.zakupki.prom.ua/remote/dispatcher/state_contracting_view/13282041" ref="D259" r:id="rId517"/>
    <hyperlink display="https://my.zakupki.prom.ua/remote/dispatcher/state_purchase_view/35679625" ref="B260" r:id="rId518"/>
    <hyperlink display="https://my.zakupki.prom.ua/remote/dispatcher/state_contracting_view/13139774" ref="D260" r:id="rId519"/>
    <hyperlink display="https://my.zakupki.prom.ua/remote/dispatcher/state_purchase_view/36525848" ref="B261" r:id="rId520"/>
    <hyperlink display="https://my.zakupki.prom.ua/remote/dispatcher/state_contracting_view/13575426" ref="D261" r:id="rId521"/>
    <hyperlink display="https://my.zakupki.prom.ua/remote/dispatcher/state_purchase_view/36494252" ref="B262" r:id="rId522"/>
    <hyperlink display="https://my.zakupki.prom.ua/remote/dispatcher/state_contracting_view/13560023" ref="D262" r:id="rId523"/>
    <hyperlink display="https://my.zakupki.prom.ua/remote/dispatcher/state_purchase_view/37919562" ref="B263" r:id="rId524"/>
    <hyperlink display="https://my.zakupki.prom.ua/remote/dispatcher/state_contracting_view/14247739" ref="D263" r:id="rId525"/>
    <hyperlink display="https://my.zakupki.prom.ua/remote/dispatcher/state_purchase_view/37064365" ref="B264" r:id="rId526"/>
    <hyperlink display="https://my.zakupki.prom.ua/remote/dispatcher/state_contracting_view/13830138" ref="D264" r:id="rId527"/>
    <hyperlink display="https://my.zakupki.prom.ua/remote/dispatcher/state_purchase_view/37071103" ref="B265" r:id="rId528"/>
    <hyperlink display="https://my.zakupki.prom.ua/remote/dispatcher/state_contracting_view/13833389" ref="D265" r:id="rId529"/>
    <hyperlink display="https://my.zakupki.prom.ua/remote/dispatcher/state_purchase_view/39694399" ref="B266" r:id="rId530"/>
    <hyperlink display="https://my.zakupki.prom.ua/remote/dispatcher/state_contracting_view/15087877" ref="D266" r:id="rId531"/>
    <hyperlink display="https://my.zakupki.prom.ua/remote/dispatcher/state_purchase_view/38995789" ref="B267" r:id="rId532"/>
    <hyperlink display="https://my.zakupki.prom.ua/remote/dispatcher/state_contracting_view/14758571" ref="D267" r:id="rId533"/>
    <hyperlink display="https://my.zakupki.prom.ua/remote/dispatcher/state_purchase_view/35538319" ref="B268" r:id="rId534"/>
    <hyperlink display="https://my.zakupki.prom.ua/remote/dispatcher/state_contracting_view/13065266" ref="D268" r:id="rId535"/>
    <hyperlink display="https://my.zakupki.prom.ua/remote/dispatcher/state_purchase_view/35514997" ref="B269" r:id="rId536"/>
    <hyperlink display="https://my.zakupki.prom.ua/remote/dispatcher/state_contracting_view/13050964" ref="D269" r:id="rId537"/>
    <hyperlink display="https://my.zakupki.prom.ua/remote/dispatcher/state_purchase_view/36387145" ref="B270" r:id="rId538"/>
    <hyperlink display="https://my.zakupki.prom.ua/remote/dispatcher/state_contracting_view/13505568" ref="D270" r:id="rId539"/>
    <hyperlink display="https://my.zakupki.prom.ua/remote/dispatcher/state_purchase_view/34399065" ref="B271" r:id="rId540"/>
    <hyperlink display="https://my.zakupki.prom.ua/remote/dispatcher/state_contracting_view/12525950" ref="D271" r:id="rId541"/>
    <hyperlink display="https://my.zakupki.prom.ua/remote/dispatcher/state_purchase_view/34785798" ref="B272" r:id="rId542"/>
    <hyperlink display="https://my.zakupki.prom.ua/remote/dispatcher/state_contracting_view/12704761" ref="D272" r:id="rId543"/>
    <hyperlink display="https://my.zakupki.prom.ua/remote/dispatcher/state_purchase_view/34788465" ref="B273" r:id="rId544"/>
    <hyperlink display="https://my.zakupki.prom.ua/remote/dispatcher/state_contracting_view/12705973" ref="D273" r:id="rId545"/>
    <hyperlink display="https://my.zakupki.prom.ua/remote/dispatcher/state_purchase_view/34790530" ref="B274" r:id="rId546"/>
    <hyperlink display="https://my.zakupki.prom.ua/remote/dispatcher/state_contracting_view/12711303" ref="D274" r:id="rId547"/>
    <hyperlink display="https://my.zakupki.prom.ua/remote/dispatcher/state_purchase_view/34927448" ref="B275" r:id="rId548"/>
    <hyperlink display="https://my.zakupki.prom.ua/remote/dispatcher/state_contracting_view/12770718" ref="D275" r:id="rId549"/>
    <hyperlink display="https://my.zakupki.prom.ua/remote/dispatcher/state_purchase_view/33933781" ref="B276" r:id="rId550"/>
    <hyperlink display="https://my.zakupki.prom.ua/remote/dispatcher/state_contracting_view/12338463" ref="D276" r:id="rId551"/>
    <hyperlink display="https://my.zakupki.prom.ua/remote/dispatcher/state_purchase_view/34881934" ref="B277" r:id="rId552"/>
    <hyperlink display="https://my.zakupki.prom.ua/remote/dispatcher/state_contracting_view/12749433" ref="D277" r:id="rId553"/>
    <hyperlink display="https://my.zakupki.prom.ua/remote/dispatcher/state_purchase_view/35948317" ref="B278" r:id="rId554"/>
    <hyperlink display="https://my.zakupki.prom.ua/remote/dispatcher/state_contracting_view/13279947" ref="D278" r:id="rId555"/>
    <hyperlink display="https://my.zakupki.prom.ua/remote/dispatcher/state_purchase_view/35615658" ref="B279" r:id="rId556"/>
    <hyperlink display="https://my.zakupki.prom.ua/remote/dispatcher/state_contracting_view/13105428" ref="D279" r:id="rId557"/>
    <hyperlink display="https://my.zakupki.prom.ua/remote/dispatcher/state_purchase_view/35900832" ref="B280" r:id="rId558"/>
    <hyperlink display="https://my.zakupki.prom.ua/remote/dispatcher/state_contracting_view/13255505" ref="D280" r:id="rId559"/>
    <hyperlink display="https://my.zakupki.prom.ua/remote/dispatcher/state_purchase_view/35938990" ref="B281" r:id="rId560"/>
    <hyperlink display="https://my.zakupki.prom.ua/remote/dispatcher/state_contracting_view/13275104" ref="D281" r:id="rId561"/>
    <hyperlink display="https://my.zakupki.prom.ua/remote/dispatcher/state_purchase_view/35947391" ref="B282" r:id="rId562"/>
    <hyperlink display="https://my.zakupki.prom.ua/remote/dispatcher/state_contracting_view/13279355" ref="D282" r:id="rId563"/>
    <hyperlink display="https://my.zakupki.prom.ua/remote/dispatcher/state_purchase_view/35947537" ref="B283" r:id="rId564"/>
    <hyperlink display="https://my.zakupki.prom.ua/remote/dispatcher/state_contracting_view/13279379" ref="D283" r:id="rId565"/>
    <hyperlink display="https://my.zakupki.prom.ua/remote/dispatcher/state_purchase_view/35960478" ref="B284" r:id="rId566"/>
    <hyperlink display="https://my.zakupki.prom.ua/remote/dispatcher/state_contracting_view/13286543" ref="D284" r:id="rId567"/>
    <hyperlink display="https://my.zakupki.prom.ua/remote/dispatcher/state_purchase_view/36524024" ref="B285" r:id="rId568"/>
    <hyperlink display="https://my.zakupki.prom.ua/remote/dispatcher/state_contracting_view/13574400" ref="D285" r:id="rId569"/>
    <hyperlink display="https://my.zakupki.prom.ua/remote/dispatcher/state_purchase_view/38385862" ref="B286" r:id="rId570"/>
    <hyperlink display="https://my.zakupki.prom.ua/remote/dispatcher/state_contracting_view/14477567" ref="D286" r:id="rId571"/>
    <hyperlink display="https://my.zakupki.prom.ua/remote/dispatcher/state_purchase_view/37759890" ref="B287" r:id="rId572"/>
    <hyperlink display="https://my.zakupki.prom.ua/remote/dispatcher/state_contracting_view/14302539" ref="D287" r:id="rId573"/>
    <hyperlink display="https://my.zakupki.prom.ua/remote/dispatcher/state_purchase_view/39158921" ref="B288" r:id="rId574"/>
    <hyperlink display="https://my.zakupki.prom.ua/remote/dispatcher/state_contracting_view/14833205" ref="D288" r:id="rId575"/>
    <hyperlink display="https://my.zakupki.prom.ua/remote/dispatcher/state_purchase_view/39161827" ref="B289" r:id="rId576"/>
    <hyperlink display="https://my.zakupki.prom.ua/remote/dispatcher/state_contracting_view/14834751" ref="D289" r:id="rId577"/>
    <hyperlink display="https://my.zakupki.prom.ua/remote/dispatcher/state_purchase_view/39164666" ref="B290" r:id="rId578"/>
    <hyperlink display="https://my.zakupki.prom.ua/remote/dispatcher/state_contracting_view/14836142" ref="D290" r:id="rId579"/>
    <hyperlink display="https://my.zakupki.prom.ua/remote/dispatcher/state_purchase_view/39812107" ref="B291" r:id="rId580"/>
    <hyperlink display="https://my.zakupki.prom.ua/remote/dispatcher/state_contracting_view/15145304" ref="D291" r:id="rId581"/>
    <hyperlink display="https://my.zakupki.prom.ua/remote/dispatcher/state_purchase_view/38089181" ref="B292" r:id="rId582"/>
    <hyperlink display="https://my.zakupki.prom.ua/remote/dispatcher/state_contracting_view/14332224" ref="D292" r:id="rId583"/>
    <hyperlink display="https://my.zakupki.prom.ua/remote/dispatcher/state_purchase_view/38150395" ref="B293" r:id="rId584"/>
    <hyperlink display="https://my.zakupki.prom.ua/remote/dispatcher/state_contracting_view/14366496" ref="D293" r:id="rId585"/>
    <hyperlink display="https://my.zakupki.prom.ua/remote/dispatcher/state_purchase_view/38150883" ref="B294" r:id="rId586"/>
    <hyperlink display="https://my.zakupki.prom.ua/remote/dispatcher/state_contracting_view/14366643" ref="D294" r:id="rId587"/>
    <hyperlink display="https://my.zakupki.prom.ua/remote/dispatcher/state_purchase_view/38292951" ref="B295" r:id="rId588"/>
    <hyperlink display="https://my.zakupki.prom.ua/remote/dispatcher/state_contracting_view/14433725" ref="D295" r:id="rId589"/>
    <hyperlink display="https://my.zakupki.prom.ua/remote/dispatcher/state_purchase_view/39782632" ref="B296" r:id="rId590"/>
    <hyperlink display="https://my.zakupki.prom.ua/remote/dispatcher/state_contracting_view/15130629" ref="D296" r:id="rId591"/>
    <hyperlink display="https://my.zakupki.prom.ua/remote/dispatcher/state_purchase_view/37918875" ref="B297" r:id="rId592"/>
    <hyperlink display="https://my.zakupki.prom.ua/remote/dispatcher/state_contracting_view/14247209" ref="D297" r:id="rId593"/>
    <hyperlink display="https://my.zakupki.prom.ua/remote/dispatcher/state_purchase_view/39030166" ref="B298" r:id="rId594"/>
    <hyperlink display="https://my.zakupki.prom.ua/remote/dispatcher/state_contracting_view/14774244" ref="D298" r:id="rId595"/>
    <hyperlink display="https://my.zakupki.prom.ua/remote/dispatcher/state_purchase_view/38647751" ref="B299" r:id="rId596"/>
    <hyperlink display="https://my.zakupki.prom.ua/remote/dispatcher/state_contracting_view/14599157" ref="D299" r:id="rId597"/>
    <hyperlink display="https://my.zakupki.prom.ua/remote/dispatcher/state_purchase_view/38653310" ref="B300" r:id="rId598"/>
    <hyperlink display="https://my.zakupki.prom.ua/remote/dispatcher/state_contracting_view/14601742" ref="D300" r:id="rId599"/>
    <hyperlink display="https://my.zakupki.prom.ua/remote/dispatcher/state_purchase_view/38994365" ref="B301" r:id="rId600"/>
    <hyperlink display="https://my.zakupki.prom.ua/remote/dispatcher/state_contracting_view/14757706" ref="D301" r:id="rId601"/>
    <hyperlink display="https://my.zakupki.prom.ua/remote/dispatcher/state_purchase_view/35637635" ref="B302" r:id="rId602"/>
    <hyperlink display="https://my.zakupki.prom.ua/remote/dispatcher/state_contracting_view/13117048" ref="D302" r:id="rId603"/>
    <hyperlink display="https://my.zakupki.prom.ua/remote/dispatcher/state_purchase_view/35939513" ref="B303" r:id="rId604"/>
    <hyperlink display="https://my.zakupki.prom.ua/remote/dispatcher/state_contracting_view/13275450" ref="D303" r:id="rId605"/>
    <hyperlink display="https://my.zakupki.prom.ua/remote/dispatcher/state_purchase_view/35939262" ref="B304" r:id="rId606"/>
    <hyperlink display="https://my.zakupki.prom.ua/remote/dispatcher/state_contracting_view/13275235" ref="D304" r:id="rId607"/>
    <hyperlink display="https://my.zakupki.prom.ua/remote/dispatcher/state_purchase_view/37719318" ref="B305" r:id="rId608"/>
    <hyperlink display="https://my.zakupki.prom.ua/remote/dispatcher/state_contracting_view/14149695" ref="D305" r:id="rId609"/>
    <hyperlink display="https://my.zakupki.prom.ua/remote/dispatcher/state_purchase_view/37714905" ref="B306" r:id="rId610"/>
    <hyperlink display="https://my.zakupki.prom.ua/remote/dispatcher/state_contracting_view/14147448" ref="D306" r:id="rId611"/>
    <hyperlink display="https://my.zakupki.prom.ua/remote/dispatcher/state_purchase_view/36823078" ref="B307" r:id="rId612"/>
    <hyperlink display="https://my.zakupki.prom.ua/remote/dispatcher/state_contracting_view/13715910" ref="D307" r:id="rId613"/>
    <hyperlink display="https://my.zakupki.prom.ua/remote/dispatcher/state_purchase_view/36843274" ref="B308" r:id="rId614"/>
    <hyperlink display="https://my.zakupki.prom.ua/remote/dispatcher/state_contracting_view/13725035" ref="D308" r:id="rId615"/>
    <hyperlink display="https://my.zakupki.prom.ua/remote/dispatcher/state_purchase_view/36719456" ref="B309" r:id="rId616"/>
    <hyperlink display="https://my.zakupki.prom.ua/remote/dispatcher/state_contracting_view/13667263" ref="D309" r:id="rId617"/>
    <hyperlink display="https://my.zakupki.prom.ua/remote/dispatcher/state_purchase_view/35939127" ref="B310" r:id="rId618"/>
    <hyperlink display="https://my.zakupki.prom.ua/remote/dispatcher/state_contracting_view/13275208" ref="D310" r:id="rId619"/>
    <hyperlink display="https://my.zakupki.prom.ua/remote/dispatcher/state_purchase_view/35626120" ref="B311" r:id="rId620"/>
    <hyperlink display="https://my.zakupki.prom.ua/remote/dispatcher/state_contracting_view/13110476" ref="D311" r:id="rId621"/>
    <hyperlink display="https://my.zakupki.prom.ua/remote/dispatcher/state_purchase_view/35625350" ref="B312" r:id="rId622"/>
    <hyperlink display="https://my.zakupki.prom.ua/remote/dispatcher/state_contracting_view/13110198" ref="D312" r:id="rId623"/>
    <hyperlink display="https://my.zakupki.prom.ua/remote/dispatcher/state_purchase_view/36224534" ref="B313" r:id="rId624"/>
    <hyperlink display="https://my.zakupki.prom.ua/remote/dispatcher/state_contracting_view/13422085" ref="D313" r:id="rId625"/>
    <hyperlink display="https://my.zakupki.prom.ua/remote/dispatcher/state_purchase_view/36224950" ref="B314" r:id="rId626"/>
    <hyperlink display="https://my.zakupki.prom.ua/remote/dispatcher/state_contracting_view/13422320" ref="D314" r:id="rId627"/>
    <hyperlink display="https://my.zakupki.prom.ua/remote/dispatcher/state_purchase_view/35948555" ref="B315" r:id="rId628"/>
    <hyperlink display="https://my.zakupki.prom.ua/remote/dispatcher/state_contracting_view/13280041" ref="D315" r:id="rId629"/>
    <hyperlink display="https://my.zakupki.prom.ua/remote/dispatcher/state_purchase_view/35223274" ref="B316" r:id="rId630"/>
    <hyperlink display="https://my.zakupki.prom.ua/remote/dispatcher/state_contracting_view/12913840" ref="D316" r:id="rId631"/>
    <hyperlink display="https://my.zakupki.prom.ua/remote/dispatcher/state_purchase_view/36112549" ref="B317" r:id="rId632"/>
    <hyperlink display="https://my.zakupki.prom.ua/remote/dispatcher/state_contracting_view/13362440" ref="D317" r:id="rId633"/>
    <hyperlink display="https://my.zakupki.prom.ua/remote/dispatcher/state_purchase_view/33958476" ref="B318" r:id="rId634"/>
    <hyperlink display="https://my.zakupki.prom.ua/remote/dispatcher/state_contracting_view/12347733" ref="D318" r:id="rId635"/>
    <hyperlink display="https://my.zakupki.prom.ua/remote/dispatcher/state_purchase_view/33959843" ref="B319" r:id="rId636"/>
    <hyperlink display="https://my.zakupki.prom.ua/remote/dispatcher/state_contracting_view/12348080" ref="D319" r:id="rId637"/>
    <hyperlink display="https://my.zakupki.prom.ua/remote/dispatcher/state_purchase_view/34532352" ref="B320" r:id="rId638"/>
    <hyperlink display="https://my.zakupki.prom.ua/remote/dispatcher/state_contracting_view/12604131" ref="D320" r:id="rId639"/>
    <hyperlink display="https://my.zakupki.prom.ua/remote/dispatcher/state_purchase_view/35803053" ref="B321" r:id="rId640"/>
    <hyperlink display="https://my.zakupki.prom.ua/remote/dispatcher/state_contracting_view/13205171" ref="D321" r:id="rId641"/>
    <hyperlink display="https://my.zakupki.prom.ua/remote/dispatcher/state_purchase_view/35803113" ref="B322" r:id="rId642"/>
    <hyperlink display="https://my.zakupki.prom.ua/remote/dispatcher/state_contracting_view/13205269" ref="D322" r:id="rId643"/>
    <hyperlink display="https://my.zakupki.prom.ua/remote/dispatcher/state_purchase_view/35790800" ref="B323" r:id="rId644"/>
    <hyperlink display="https://my.zakupki.prom.ua/remote/dispatcher/state_contracting_view/13201222" ref="D323" r:id="rId645"/>
    <hyperlink display="https://my.zakupki.prom.ua/remote/dispatcher/state_purchase_view/35556579" ref="B324" r:id="rId646"/>
    <hyperlink display="https://my.zakupki.prom.ua/remote/dispatcher/state_contracting_view/13073388" ref="D324" r:id="rId647"/>
    <hyperlink display="https://my.zakupki.prom.ua/remote/dispatcher/state_purchase_view/35267952" ref="B325" r:id="rId648"/>
    <hyperlink display="https://my.zakupki.prom.ua/remote/dispatcher/state_contracting_view/12941721" ref="D325" r:id="rId649"/>
    <hyperlink display="https://my.zakupki.prom.ua/remote/dispatcher/state_purchase_view/36626958" ref="B326" r:id="rId650"/>
    <hyperlink display="https://my.zakupki.prom.ua/remote/dispatcher/state_contracting_view/13624387" ref="D326" r:id="rId651"/>
    <hyperlink display="https://my.zakupki.prom.ua/remote/dispatcher/state_purchase_view/36709045" ref="B327" r:id="rId652"/>
    <hyperlink display="https://my.zakupki.prom.ua/remote/dispatcher/state_contracting_view/13662468" ref="D327" r:id="rId653"/>
    <hyperlink display="https://my.zakupki.prom.ua/remote/dispatcher/state_purchase_view/36752572" ref="B328" r:id="rId654"/>
    <hyperlink display="https://my.zakupki.prom.ua/remote/dispatcher/state_contracting_view/13682748" ref="D328" r:id="rId655"/>
    <hyperlink display="https://my.zakupki.prom.ua/remote/dispatcher/state_purchase_view/36753233" ref="B329" r:id="rId656"/>
    <hyperlink display="https://my.zakupki.prom.ua/remote/dispatcher/state_contracting_view/13683027" ref="D329" r:id="rId657"/>
    <hyperlink display="https://my.zakupki.prom.ua/remote/dispatcher/state_purchase_view/38561174" ref="B330" r:id="rId658"/>
    <hyperlink display="https://my.zakupki.prom.ua/remote/dispatcher/state_contracting_view/14558693" ref="D330" r:id="rId659"/>
    <hyperlink display="https://my.zakupki.prom.ua/remote/dispatcher/state_purchase_view/38679609" ref="B331" r:id="rId660"/>
    <hyperlink display="https://my.zakupki.prom.ua/remote/dispatcher/state_contracting_view/14613882" ref="D331" r:id="rId661"/>
    <hyperlink display="https://my.zakupki.prom.ua/remote/dispatcher/state_purchase_view/38760013" ref="B332" r:id="rId662"/>
    <hyperlink display="https://my.zakupki.prom.ua/remote/dispatcher/state_contracting_view/14650976" ref="D332" r:id="rId663"/>
    <hyperlink display="https://my.zakupki.prom.ua/remote/dispatcher/state_purchase_view/38089077" ref="B333" r:id="rId664"/>
    <hyperlink display="https://my.zakupki.prom.ua/remote/dispatcher/state_contracting_view/14332123" ref="D333" r:id="rId665"/>
    <hyperlink display="https://my.zakupki.prom.ua/remote/dispatcher/state_purchase_view/39579100" ref="B334" r:id="rId666"/>
    <hyperlink display="https://my.zakupki.prom.ua/remote/dispatcher/state_contracting_view/15032096" ref="D334" r:id="rId667"/>
    <hyperlink display="https://my.zakupki.prom.ua/remote/dispatcher/state_purchase_view/39183840" ref="B335" r:id="rId668"/>
    <hyperlink display="https://my.zakupki.prom.ua/remote/dispatcher/state_contracting_view/14844642" ref="D335" r:id="rId669"/>
    <hyperlink display="https://my.zakupki.prom.ua/remote/dispatcher/state_purchase_view/39699355" ref="B336" r:id="rId670"/>
    <hyperlink display="https://my.zakupki.prom.ua/remote/dispatcher/state_contracting_view/15090415" ref="D336" r:id="rId671"/>
    <hyperlink display="https://my.zakupki.prom.ua/remote/dispatcher/state_purchase_view/39776634" ref="B337" r:id="rId672"/>
    <hyperlink display="https://my.zakupki.prom.ua/remote/dispatcher/state_contracting_view/15127842" ref="D337" r:id="rId673"/>
    <hyperlink display="https://my.zakupki.prom.ua/remote/dispatcher/state_purchase_view/33695913" ref="B338" r:id="rId674"/>
    <hyperlink display="https://my.zakupki.prom.ua/remote/dispatcher/state_contracting_view/12500863" ref="D338" r:id="rId675"/>
    <hyperlink display="https://my.zakupki.prom.ua/remote/dispatcher/state_purchase_view/35839332" ref="B339" r:id="rId676"/>
    <hyperlink display="https://my.zakupki.prom.ua/remote/dispatcher/state_contracting_view/13224334" ref="D339" r:id="rId677"/>
    <hyperlink display="https://my.zakupki.prom.ua/remote/dispatcher/state_purchase_view/35843246" ref="B340" r:id="rId678"/>
    <hyperlink display="https://my.zakupki.prom.ua/remote/dispatcher/state_contracting_view/13226173" ref="D340" r:id="rId679"/>
    <hyperlink display="https://my.zakupki.prom.ua/remote/dispatcher/state_purchase_view/34030612" ref="B341" r:id="rId680"/>
    <hyperlink display="https://my.zakupki.prom.ua/remote/dispatcher/state_contracting_view/12374056" ref="D341" r:id="rId681"/>
    <hyperlink display="https://my.zakupki.prom.ua/remote/dispatcher/state_purchase_view/34534858" ref="B342" r:id="rId682"/>
    <hyperlink display="https://my.zakupki.prom.ua/remote/dispatcher/state_contracting_view/12591151" ref="D342" r:id="rId683"/>
    <hyperlink display="https://my.zakupki.prom.ua/remote/dispatcher/state_purchase_view/35298056" ref="B343" r:id="rId684"/>
    <hyperlink display="https://my.zakupki.prom.ua/remote/dispatcher/state_contracting_view/12946924" ref="D343" r:id="rId685"/>
    <hyperlink display="https://my.zakupki.prom.ua/remote/dispatcher/state_purchase_view/34903463" ref="B344" r:id="rId686"/>
    <hyperlink display="https://my.zakupki.prom.ua/remote/dispatcher/state_contracting_view/12951878" ref="D344" r:id="rId687"/>
    <hyperlink display="https://my.zakupki.prom.ua/remote/dispatcher/state_purchase_view/36429653" ref="B345" r:id="rId688"/>
    <hyperlink display="https://my.zakupki.prom.ua/remote/dispatcher/state_contracting_view/13527088" ref="D345" r:id="rId689"/>
    <hyperlink display="https://my.zakupki.prom.ua/remote/dispatcher/state_purchase_view/36719998" ref="B346" r:id="rId690"/>
    <hyperlink display="https://my.zakupki.prom.ua/remote/dispatcher/state_contracting_view/13667552" ref="D346" r:id="rId691"/>
    <hyperlink display="https://my.zakupki.prom.ua/remote/dispatcher/state_purchase_view/36720604" ref="B347" r:id="rId692"/>
    <hyperlink display="https://my.zakupki.prom.ua/remote/dispatcher/state_contracting_view/13667786" ref="D347" r:id="rId693"/>
    <hyperlink display="https://my.zakupki.prom.ua/remote/dispatcher/state_purchase_view/36743395" ref="B348" r:id="rId694"/>
    <hyperlink display="https://my.zakupki.prom.ua/remote/dispatcher/state_contracting_view/13678480" ref="D348" r:id="rId695"/>
    <hyperlink display="https://my.zakupki.prom.ua/remote/dispatcher/state_purchase_view/36743569" ref="B349" r:id="rId696"/>
    <hyperlink display="https://my.zakupki.prom.ua/remote/dispatcher/state_contracting_view/13678479" ref="D349" r:id="rId697"/>
    <hyperlink display="https://my.zakupki.prom.ua/remote/dispatcher/state_purchase_view/36743641" ref="B350" r:id="rId698"/>
    <hyperlink display="https://my.zakupki.prom.ua/remote/dispatcher/state_contracting_view/13678592" ref="D350" r:id="rId699"/>
    <hyperlink display="https://my.zakupki.prom.ua/remote/dispatcher/state_purchase_view/36745496" ref="B351" r:id="rId700"/>
    <hyperlink display="https://my.zakupki.prom.ua/remote/dispatcher/state_contracting_view/13679521" ref="D351" r:id="rId701"/>
    <hyperlink display="https://my.zakupki.prom.ua/remote/dispatcher/state_purchase_view/36707314" ref="B352" r:id="rId702"/>
    <hyperlink display="https://my.zakupki.prom.ua/remote/dispatcher/state_contracting_view/13661844" ref="D352" r:id="rId703"/>
    <hyperlink display="https://my.zakupki.prom.ua/remote/dispatcher/state_purchase_view/36992446" ref="B353" r:id="rId704"/>
    <hyperlink display="https://my.zakupki.prom.ua/remote/dispatcher/state_contracting_view/13795840" ref="D353" r:id="rId705"/>
    <hyperlink display="https://my.zakupki.prom.ua/remote/dispatcher/state_purchase_view/37456609" ref="B354" r:id="rId706"/>
    <hyperlink display="https://my.zakupki.prom.ua/remote/dispatcher/state_contracting_view/14021008" ref="D354" r:id="rId707"/>
    <hyperlink display="https://my.zakupki.prom.ua/remote/dispatcher/state_purchase_view/37718975" ref="B355" r:id="rId708"/>
    <hyperlink display="https://my.zakupki.prom.ua/remote/dispatcher/state_contracting_view/14149380" ref="D355" r:id="rId709"/>
    <hyperlink display="https://my.zakupki.prom.ua/remote/dispatcher/state_purchase_view/37718783" ref="B356" r:id="rId710"/>
    <hyperlink display="https://my.zakupki.prom.ua/remote/dispatcher/state_contracting_view/14149325" ref="D356" r:id="rId711"/>
    <hyperlink display="https://my.zakupki.prom.ua/remote/dispatcher/state_purchase_view/36050846" ref="B357" r:id="rId712"/>
    <hyperlink display="https://my.zakupki.prom.ua/remote/dispatcher/state_contracting_view/13474498" ref="D357" r:id="rId713"/>
    <hyperlink display="https://my.zakupki.prom.ua/remote/dispatcher/state_purchase_view/35959299" ref="B358" r:id="rId714"/>
    <hyperlink display="https://my.zakupki.prom.ua/remote/dispatcher/state_contracting_view/13285942" ref="D358" r:id="rId715"/>
    <hyperlink display="https://my.zakupki.prom.ua/remote/dispatcher/state_purchase_view/36347350" ref="B359" r:id="rId716"/>
    <hyperlink display="https://my.zakupki.prom.ua/remote/dispatcher/state_contracting_view/13484991" ref="D359" r:id="rId717"/>
    <hyperlink display="https://my.zakupki.prom.ua/remote/dispatcher/state_purchase_view/36357362" ref="B360" r:id="rId718"/>
    <hyperlink display="https://my.zakupki.prom.ua/remote/dispatcher/state_contracting_view/13490263" ref="D360" r:id="rId719"/>
    <hyperlink display="https://my.zakupki.prom.ua/remote/dispatcher/state_purchase_view/39575758" ref="B361" r:id="rId720"/>
    <hyperlink display="https://my.zakupki.prom.ua/remote/dispatcher/state_contracting_view/15030348" ref="D361" r:id="rId721"/>
    <hyperlink display="https://my.zakupki.prom.ua/remote/dispatcher/state_purchase_view/39163476" ref="B362" r:id="rId722"/>
    <hyperlink display="https://my.zakupki.prom.ua/remote/dispatcher/state_contracting_view/14835317" ref="D362" r:id="rId723"/>
    <hyperlink display="https://my.zakupki.prom.ua/remote/dispatcher/state_purchase_view/38151839" ref="B363" r:id="rId724"/>
    <hyperlink display="https://my.zakupki.prom.ua/remote/dispatcher/state_contracting_view/14366754" ref="D363" r:id="rId725"/>
    <hyperlink display="https://my.zakupki.prom.ua/remote/dispatcher/state_purchase_view/38190422" ref="B364" r:id="rId726"/>
    <hyperlink display="https://my.zakupki.prom.ua/remote/dispatcher/state_contracting_view/14384501" ref="D364" r:id="rId727"/>
    <hyperlink display="https://my.zakupki.prom.ua/remote/dispatcher/state_purchase_view/38353488" ref="B365" r:id="rId728"/>
    <hyperlink display="https://my.zakupki.prom.ua/remote/dispatcher/state_contracting_view/14463216" ref="D365" r:id="rId729"/>
    <hyperlink display="https://my.zakupki.prom.ua/remote/dispatcher/state_purchase_view/38385985" ref="B366" r:id="rId730"/>
    <hyperlink display="https://my.zakupki.prom.ua/remote/dispatcher/state_contracting_view/14477543" ref="D366" r:id="rId731"/>
    <hyperlink display="https://my.zakupki.prom.ua/remote/dispatcher/state_purchase_view/38566982" ref="B367" r:id="rId732"/>
    <hyperlink display="https://my.zakupki.prom.ua/remote/dispatcher/state_contracting_view/14561405" ref="D367" r:id="rId733"/>
    <hyperlink display="https://my.zakupki.prom.ua/remote/dispatcher/state_purchase_view/39809860" ref="B368" r:id="rId734"/>
    <hyperlink display="https://my.zakupki.prom.ua/remote/dispatcher/state_contracting_view/15144350" ref="D368" r:id="rId735"/>
    <hyperlink display="https://my.zakupki.prom.ua/remote/dispatcher/state_purchase_view/39876484" ref="B369" r:id="rId736"/>
    <hyperlink display="https://my.zakupki.prom.ua/remote/dispatcher/state_contracting_view/15177584" ref="D369" r:id="rId737"/>
    <hyperlink display="https://my.zakupki.prom.ua/remote/dispatcher/state_purchase_view/39770795" ref="B370" r:id="rId738"/>
    <hyperlink display="https://my.zakupki.prom.ua/remote/dispatcher/state_contracting_view/15124714" ref="D370" r:id="rId739"/>
    <hyperlink display="https://my.zakupki.prom.ua/remote/dispatcher/state_purchase_view/35680517" ref="B371" r:id="rId740"/>
    <hyperlink display="https://my.zakupki.prom.ua/remote/dispatcher/state_contracting_view/13278221" ref="D371" r:id="rId741"/>
    <hyperlink display="https://my.zakupki.prom.ua/remote/dispatcher/state_purchase_view/35886055" ref="B372" r:id="rId742"/>
    <hyperlink display="https://my.zakupki.prom.ua/remote/dispatcher/state_contracting_view/13247990" ref="D372" r:id="rId743"/>
    <hyperlink display="https://my.zakupki.prom.ua/remote/dispatcher/state_purchase_view/35900177" ref="B373" r:id="rId744"/>
    <hyperlink display="https://my.zakupki.prom.ua/remote/dispatcher/state_contracting_view/13255099" ref="D373" r:id="rId745"/>
    <hyperlink display="https://my.zakupki.prom.ua/remote/dispatcher/state_purchase_view/35960629" ref="B374" r:id="rId746"/>
    <hyperlink display="https://my.zakupki.prom.ua/remote/dispatcher/state_contracting_view/13286582" ref="D374" r:id="rId747"/>
    <hyperlink display="https://my.zakupki.prom.ua/remote/dispatcher/state_purchase_view/35960670" ref="B375" r:id="rId748"/>
    <hyperlink display="https://my.zakupki.prom.ua/remote/dispatcher/state_contracting_view/13286652" ref="D375" r:id="rId749"/>
    <hyperlink display="https://my.zakupki.prom.ua/remote/dispatcher/state_purchase_view/35207267" ref="B376" r:id="rId750"/>
    <hyperlink display="https://my.zakupki.prom.ua/remote/dispatcher/state_contracting_view/12903557" ref="D376" r:id="rId751"/>
    <hyperlink display="https://my.zakupki.prom.ua/remote/dispatcher/state_purchase_view/35224716" ref="B377" r:id="rId752"/>
    <hyperlink display="https://my.zakupki.prom.ua/remote/dispatcher/state_contracting_view/12913696" ref="D377" r:id="rId753"/>
    <hyperlink display="https://my.zakupki.prom.ua/remote/dispatcher/state_purchase_view/34910571" ref="B378" r:id="rId754"/>
    <hyperlink display="https://my.zakupki.prom.ua/remote/dispatcher/state_contracting_view/12768531" ref="D378" r:id="rId755"/>
    <hyperlink display="https://my.zakupki.prom.ua/remote/dispatcher/state_purchase_view/33695003" ref="B379" r:id="rId756"/>
    <hyperlink display="https://my.zakupki.prom.ua/remote/dispatcher/state_contracting_view/12522621" ref="D379" r:id="rId757"/>
    <hyperlink display="https://my.zakupki.prom.ua/remote/dispatcher/state_purchase_view/35945490" ref="B380" r:id="rId758"/>
    <hyperlink display="https://my.zakupki.prom.ua/remote/dispatcher/state_contracting_view/13278467" ref="D380" r:id="rId759"/>
    <hyperlink display="https://my.zakupki.prom.ua/remote/dispatcher/state_purchase_view/35902232" ref="B381" r:id="rId760"/>
    <hyperlink display="https://my.zakupki.prom.ua/remote/dispatcher/state_contracting_view/13256427" ref="D381" r:id="rId761"/>
    <hyperlink display="https://my.zakupki.prom.ua/remote/dispatcher/state_purchase_view/35141746" ref="B382" r:id="rId762"/>
    <hyperlink display="https://my.zakupki.prom.ua/remote/dispatcher/state_contracting_view/12871865" ref="D382" r:id="rId763"/>
    <hyperlink display="https://my.zakupki.prom.ua/remote/dispatcher/state_purchase_view/34142633" ref="B383" r:id="rId764"/>
    <hyperlink display="https://my.zakupki.prom.ua/remote/dispatcher/state_contracting_view/12416040" ref="D383" r:id="rId765"/>
    <hyperlink display="https://my.zakupki.prom.ua/remote/dispatcher/state_purchase_view/33938496" ref="B384" r:id="rId766"/>
    <hyperlink display="https://my.zakupki.prom.ua/remote/dispatcher/state_contracting_view/12340148" ref="D384" r:id="rId767"/>
    <hyperlink display="https://my.zakupki.prom.ua/remote/dispatcher/state_purchase_view/35150667" ref="B385" r:id="rId768"/>
    <hyperlink display="https://my.zakupki.prom.ua/remote/dispatcher/state_contracting_view/13141299" ref="D385" r:id="rId769"/>
    <hyperlink display="https://my.zakupki.prom.ua/remote/dispatcher/state_purchase_view/35556318" ref="B386" r:id="rId770"/>
    <hyperlink display="https://my.zakupki.prom.ua/remote/dispatcher/state_contracting_view/13073440" ref="D386" r:id="rId771"/>
    <hyperlink display="https://my.zakupki.prom.ua/remote/dispatcher/state_purchase_view/35533305" ref="B387" r:id="rId772"/>
    <hyperlink display="https://my.zakupki.prom.ua/remote/dispatcher/state_contracting_view/13060689" ref="D387" r:id="rId773"/>
    <hyperlink display="https://my.zakupki.prom.ua/remote/dispatcher/state_purchase_view/34277956" ref="B388" r:id="rId774"/>
    <hyperlink display="https://my.zakupki.prom.ua/remote/dispatcher/state_contracting_view/12473410" ref="D388" r:id="rId775"/>
    <hyperlink display="https://my.zakupki.prom.ua/remote/dispatcher/state_purchase_view/34909804" ref="B389" r:id="rId776"/>
    <hyperlink display="https://my.zakupki.prom.ua/remote/dispatcher/state_contracting_view/12768466" ref="D389" r:id="rId777"/>
    <hyperlink display="https://my.zakupki.prom.ua/remote/dispatcher/state_purchase_view/35623151" ref="B390" r:id="rId778"/>
    <hyperlink display="https://my.zakupki.prom.ua/remote/dispatcher/state_contracting_view/13109345" ref="D390" r:id="rId779"/>
    <hyperlink display="https://my.zakupki.prom.ua/remote/dispatcher/state_purchase_view/35434844" ref="B391" r:id="rId780"/>
    <hyperlink display="https://my.zakupki.prom.ua/remote/dispatcher/state_contracting_view/13140089" ref="D391" r:id="rId781"/>
    <hyperlink display="https://my.zakupki.prom.ua/remote/dispatcher/state_purchase_view/35667477" ref="B392" r:id="rId782"/>
    <hyperlink display="https://my.zakupki.prom.ua/remote/dispatcher/state_contracting_view/13133213" ref="D392" r:id="rId783"/>
    <hyperlink display="https://my.zakupki.prom.ua/remote/dispatcher/state_purchase_view/35737309" ref="B393" r:id="rId784"/>
    <hyperlink display="https://my.zakupki.prom.ua/remote/dispatcher/state_contracting_view/13170620" ref="D393" r:id="rId785"/>
    <hyperlink display="https://my.zakupki.prom.ua/remote/dispatcher/state_purchase_view/36748137" ref="B394" r:id="rId786"/>
    <hyperlink display="https://my.zakupki.prom.ua/remote/dispatcher/state_contracting_view/13680602" ref="D394" r:id="rId787"/>
    <hyperlink display="https://my.zakupki.prom.ua/remote/dispatcher/state_purchase_view/36748266" ref="B395" r:id="rId788"/>
    <hyperlink display="https://my.zakupki.prom.ua/remote/dispatcher/state_contracting_view/13681619" ref="D395" r:id="rId789"/>
    <hyperlink display="https://my.zakupki.prom.ua/remote/dispatcher/state_purchase_view/36752785" ref="B396" r:id="rId790"/>
    <hyperlink display="https://my.zakupki.prom.ua/remote/dispatcher/state_contracting_view/13682815" ref="D396" r:id="rId791"/>
    <hyperlink display="https://my.zakupki.prom.ua/remote/dispatcher/state_purchase_view/37882209" ref="B397" r:id="rId792"/>
    <hyperlink display="https://my.zakupki.prom.ua/remote/dispatcher/state_contracting_view/14229222" ref="D397" r:id="rId793"/>
    <hyperlink display="https://my.zakupki.prom.ua/remote/dispatcher/state_purchase_view/37856361" ref="B398" r:id="rId794"/>
    <hyperlink display="https://my.zakupki.prom.ua/remote/dispatcher/state_contracting_view/14217477" ref="D398" r:id="rId795"/>
    <hyperlink display="https://my.zakupki.prom.ua/remote/dispatcher/state_purchase_view/38561709" ref="B399" r:id="rId796"/>
    <hyperlink display="https://my.zakupki.prom.ua/remote/dispatcher/state_contracting_view/14558901" ref="D399" r:id="rId797"/>
    <hyperlink display="https://my.zakupki.prom.ua/remote/dispatcher/state_purchase_view/38258732" ref="B400" r:id="rId798"/>
    <hyperlink display="https://my.zakupki.prom.ua/remote/dispatcher/state_purchase_lot_view/774846" ref="C400" r:id="rId799"/>
    <hyperlink display="https://my.zakupki.prom.ua/remote/dispatcher/state_contracting_view/14559837" ref="D400" r:id="rId800"/>
    <hyperlink display="https://my.zakupki.prom.ua/remote/dispatcher/state_purchase_view/39147007" ref="B401" r:id="rId801"/>
    <hyperlink display="https://my.zakupki.prom.ua/remote/dispatcher/state_contracting_view/14827699" ref="D401" r:id="rId802"/>
    <hyperlink display="https://my.zakupki.prom.ua/remote/dispatcher/state_purchase_view/39743994" ref="B402" r:id="rId803"/>
    <hyperlink display="https://my.zakupki.prom.ua/remote/dispatcher/state_contracting_view/15111650" ref="D402" r:id="rId804"/>
    <hyperlink display="https://my.zakupki.prom.ua/remote/dispatcher/state_purchase_view/35807189" ref="B403" r:id="rId805"/>
    <hyperlink display="https://my.zakupki.prom.ua/remote/dispatcher/state_contracting_view/13208456" ref="D403" r:id="rId806"/>
    <hyperlink display="https://my.zakupki.prom.ua/remote/dispatcher/state_purchase_view/38151036" ref="B404" r:id="rId807"/>
    <hyperlink display="https://my.zakupki.prom.ua/remote/dispatcher/state_contracting_view/14366606" ref="D404" r:id="rId808"/>
    <hyperlink display="https://my.zakupki.prom.ua/remote/dispatcher/state_purchase_view/39030673" ref="B405" r:id="rId809"/>
    <hyperlink display="https://my.zakupki.prom.ua/remote/dispatcher/state_contracting_view/14774477" ref="D405" r:id="rId810"/>
    <hyperlink display="https://my.zakupki.prom.ua/remote/dispatcher/state_purchase_view/37957457" ref="B406" r:id="rId811"/>
    <hyperlink display="https://my.zakupki.prom.ua/remote/dispatcher/state_contracting_view/14265978" ref="D406" r:id="rId812"/>
    <hyperlink display="https://my.zakupki.prom.ua/remote/dispatcher/state_purchase_view/36894422" ref="B407" r:id="rId813"/>
    <hyperlink display="https://my.zakupki.prom.ua/remote/dispatcher/state_contracting_view/13749429" ref="D407" r:id="rId814"/>
    <hyperlink display="https://my.zakupki.prom.ua/remote/dispatcher/state_purchase_view/36969792" ref="B408" r:id="rId815"/>
    <hyperlink display="https://my.zakupki.prom.ua/remote/dispatcher/state_contracting_view/13785199" ref="D408" r:id="rId816"/>
    <hyperlink display="https://my.zakupki.prom.ua/remote/dispatcher/state_purchase_view/37022826" ref="B409" r:id="rId817"/>
    <hyperlink display="https://my.zakupki.prom.ua/remote/dispatcher/state_contracting_view/13810425" ref="D409" r:id="rId818"/>
    <hyperlink display="https://my.zakupki.prom.ua/remote/dispatcher/state_purchase_view/37070709" ref="B410" r:id="rId819"/>
    <hyperlink display="https://my.zakupki.prom.ua/remote/dispatcher/state_contracting_view/13833213" ref="D410" r:id="rId820"/>
    <hyperlink display="https://my.zakupki.prom.ua/remote/dispatcher/state_purchase_view/37720448" ref="B411" r:id="rId821"/>
    <hyperlink display="https://my.zakupki.prom.ua/remote/dispatcher/state_contracting_view/14150251" ref="D411" r:id="rId822"/>
    <hyperlink display="https://my.zakupki.prom.ua/remote/dispatcher/state_purchase_view/36673306" ref="B412" r:id="rId823"/>
    <hyperlink display="https://my.zakupki.prom.ua/remote/dispatcher/state_contracting_view/13645919" ref="D412" r:id="rId824"/>
    <hyperlink display="https://my.zakupki.prom.ua/remote/dispatcher/state_purchase_view/36324767" ref="B413" r:id="rId825"/>
    <hyperlink display="https://my.zakupki.prom.ua/remote/dispatcher/state_contracting_view/13473784" ref="D413" r:id="rId826"/>
    <hyperlink display="https://my.zakupki.prom.ua/remote/dispatcher/state_purchase_view/36362894" ref="B414" r:id="rId827"/>
    <hyperlink display="https://my.zakupki.prom.ua/remote/dispatcher/state_contracting_view/13493093" ref="D414" r:id="rId828"/>
    <hyperlink display="https://my.zakupki.prom.ua/remote/dispatcher/state_purchase_view/36166776" ref="B415" r:id="rId829"/>
    <hyperlink display="https://my.zakupki.prom.ua/remote/dispatcher/state_contracting_view/13392539" ref="D415" r:id="rId830"/>
    <hyperlink display="https://my.zakupki.prom.ua/remote/dispatcher/state_purchase_view/36224150" ref="B416" r:id="rId831"/>
    <hyperlink display="https://my.zakupki.prom.ua/remote/dispatcher/state_contracting_view/13421882" ref="D416" r:id="rId832"/>
    <hyperlink display="https://my.zakupki.prom.ua/remote/dispatcher/state_purchase_view/36224359" ref="B417" r:id="rId833"/>
    <hyperlink display="https://my.zakupki.prom.ua/remote/dispatcher/state_contracting_view/13421994" ref="D417" r:id="rId834"/>
    <hyperlink display="https://my.zakupki.prom.ua/remote/dispatcher/state_purchase_view/36224664" ref="B418" r:id="rId835"/>
    <hyperlink display="https://my.zakupki.prom.ua/remote/dispatcher/state_contracting_view/13422119" ref="D418" r:id="rId836"/>
    <hyperlink display="https://my.zakupki.prom.ua/remote/dispatcher/state_purchase_view/35855199" ref="B419" r:id="rId837"/>
    <hyperlink display="https://my.zakupki.prom.ua/remote/dispatcher/state_contracting_view/13232440" ref="D419" r:id="rId838"/>
    <hyperlink display="https://my.zakupki.prom.ua/remote/dispatcher/state_purchase_view/35947623" ref="B420" r:id="rId839"/>
    <hyperlink display="https://my.zakupki.prom.ua/remote/dispatcher/state_contracting_view/13279558" ref="D420" r:id="rId840"/>
    <hyperlink display="https://my.zakupki.prom.ua/remote/dispatcher/state_purchase_view/35625637" ref="B421" r:id="rId841"/>
    <hyperlink display="https://my.zakupki.prom.ua/remote/dispatcher/state_contracting_view/13110316" ref="D421" r:id="rId842"/>
    <hyperlink display="https://my.zakupki.prom.ua/remote/dispatcher/state_purchase_view/34783106" ref="B422" r:id="rId843"/>
    <hyperlink display="https://my.zakupki.prom.ua/remote/dispatcher/state_contracting_view/12703753" ref="D422" r:id="rId844"/>
    <hyperlink display="https://my.zakupki.prom.ua/remote/dispatcher/state_purchase_view/34809891" ref="B423" r:id="rId845"/>
    <hyperlink display="https://my.zakupki.prom.ua/remote/dispatcher/state_contracting_view/12719396" ref="D423" r:id="rId846"/>
    <hyperlink display="https://my.zakupki.prom.ua/remote/dispatcher/state_purchase_view/35196939" ref="B424" r:id="rId847"/>
    <hyperlink display="https://my.zakupki.prom.ua/remote/dispatcher/state_contracting_view/12902101" ref="D424" r:id="rId848"/>
    <hyperlink display="https://my.zakupki.prom.ua/remote/dispatcher/state_purchase_view/35052054" ref="B425" r:id="rId849"/>
    <hyperlink display="https://my.zakupki.prom.ua/remote/dispatcher/state_contracting_view/12840915" ref="D425" r:id="rId850"/>
    <hyperlink display="https://my.zakupki.prom.ua/remote/dispatcher/state_purchase_view/35001977" ref="B426" r:id="rId851"/>
    <hyperlink display="https://my.zakupki.prom.ua/remote/dispatcher/state_contracting_view/12816161" ref="D426" r:id="rId852"/>
    <hyperlink display="https://my.zakupki.prom.ua/remote/dispatcher/state_purchase_view/35139420" ref="B427" r:id="rId853"/>
    <hyperlink display="https://my.zakupki.prom.ua/remote/dispatcher/state_contracting_view/12871072" ref="D427" r:id="rId854"/>
    <hyperlink display="https://my.zakupki.prom.ua/remote/dispatcher/state_purchase_view/34512377" ref="B428" r:id="rId855"/>
    <hyperlink display="https://my.zakupki.prom.ua/remote/dispatcher/state_contracting_view/12577414" ref="D428" r:id="rId856"/>
    <hyperlink display="https://my.zakupki.prom.ua/remote/dispatcher/state_purchase_view/35668026" ref="B429" r:id="rId857"/>
    <hyperlink display="https://my.zakupki.prom.ua/remote/dispatcher/state_contracting_view/13133627" ref="D429" r:id="rId858"/>
    <hyperlink display="https://my.zakupki.prom.ua/remote/dispatcher/state_purchase_view/36224856" ref="B430" r:id="rId859"/>
    <hyperlink display="https://my.zakupki.prom.ua/remote/dispatcher/state_contracting_view/13422162" ref="D430" r:id="rId860"/>
    <hyperlink display="https://my.zakupki.prom.ua/remote/dispatcher/state_purchase_view/36224285" ref="B431" r:id="rId861"/>
    <hyperlink display="https://my.zakupki.prom.ua/remote/dispatcher/state_contracting_view/13421850" ref="D431" r:id="rId862"/>
    <hyperlink display="https://my.zakupki.prom.ua/remote/dispatcher/state_purchase_view/35790640" ref="B432" r:id="rId863"/>
    <hyperlink display="https://my.zakupki.prom.ua/remote/dispatcher/state_contracting_view/13201164" ref="D432" r:id="rId864"/>
    <hyperlink display="https://my.zakupki.prom.ua/remote/dispatcher/state_purchase_view/35383209" ref="B433" r:id="rId865"/>
    <hyperlink display="https://my.zakupki.prom.ua/remote/dispatcher/state_contracting_view/12988107" ref="D433" r:id="rId866"/>
    <hyperlink display="https://my.zakupki.prom.ua/remote/dispatcher/state_purchase_view/35384520" ref="B434" r:id="rId867"/>
    <hyperlink display="https://my.zakupki.prom.ua/remote/dispatcher/state_contracting_view/12987661" ref="D434" r:id="rId868"/>
    <hyperlink display="https://my.zakupki.prom.ua/remote/dispatcher/state_purchase_view/35416949" ref="B435" r:id="rId869"/>
    <hyperlink display="https://my.zakupki.prom.ua/remote/dispatcher/state_contracting_view/13013254" ref="D435" r:id="rId870"/>
    <hyperlink display="https://my.zakupki.prom.ua/remote/dispatcher/state_purchase_view/35705145" ref="B436" r:id="rId871"/>
    <hyperlink display="https://my.zakupki.prom.ua/remote/dispatcher/state_contracting_view/13153700" ref="D436" r:id="rId872"/>
    <hyperlink display="https://my.zakupki.prom.ua/remote/dispatcher/state_purchase_view/35432498" ref="B437" r:id="rId873"/>
    <hyperlink display="https://my.zakupki.prom.ua/remote/dispatcher/state_contracting_view/13109200" ref="D437" r:id="rId874"/>
    <hyperlink display="https://my.zakupki.prom.ua/remote/dispatcher/state_purchase_view/35578942" ref="B438" r:id="rId875"/>
    <hyperlink display="https://my.zakupki.prom.ua/remote/dispatcher/state_contracting_view/13085306" ref="D438" r:id="rId876"/>
    <hyperlink display="https://my.zakupki.prom.ua/remote/dispatcher/state_purchase_view/35577811" ref="B439" r:id="rId877"/>
    <hyperlink display="https://my.zakupki.prom.ua/remote/dispatcher/state_contracting_view/13084624" ref="D439" r:id="rId878"/>
    <hyperlink display="https://my.zakupki.prom.ua/remote/dispatcher/state_purchase_view/35590132" ref="B440" r:id="rId879"/>
    <hyperlink display="https://my.zakupki.prom.ua/remote/dispatcher/state_contracting_view/13091131" ref="D440" r:id="rId880"/>
    <hyperlink display="https://my.zakupki.prom.ua/remote/dispatcher/state_purchase_view/39695149" ref="B441" r:id="rId881"/>
    <hyperlink display="https://my.zakupki.prom.ua/remote/dispatcher/state_contracting_view/15088368" ref="D441" r:id="rId882"/>
    <hyperlink display="https://my.zakupki.prom.ua/remote/dispatcher/state_purchase_view/39160051" ref="B442" r:id="rId883"/>
    <hyperlink display="https://my.zakupki.prom.ua/remote/dispatcher/state_contracting_view/14833629" ref="D442" r:id="rId884"/>
    <hyperlink display="https://my.zakupki.prom.ua/remote/dispatcher/state_purchase_view/39119871" ref="B443" r:id="rId885"/>
    <hyperlink display="https://my.zakupki.prom.ua/remote/dispatcher/state_contracting_view/14815229" ref="D443" r:id="rId886"/>
    <hyperlink display="https://my.zakupki.prom.ua/remote/dispatcher/state_purchase_view/39283096" ref="B444" r:id="rId887"/>
    <hyperlink display="https://my.zakupki.prom.ua/remote/dispatcher/state_contracting_view/14891030" ref="D444" r:id="rId888"/>
    <hyperlink display="https://my.zakupki.prom.ua/remote/dispatcher/state_purchase_view/37953719" ref="B445" r:id="rId889"/>
    <hyperlink display="https://my.zakupki.prom.ua/remote/dispatcher/state_contracting_view/14264371" ref="D445" r:id="rId890"/>
    <hyperlink display="https://my.zakupki.prom.ua/remote/dispatcher/state_purchase_view/39827129" ref="B446" r:id="rId891"/>
    <hyperlink display="https://my.zakupki.prom.ua/remote/dispatcher/state_contracting_view/15152569" ref="D446" r:id="rId892"/>
    <hyperlink display="https://my.zakupki.prom.ua/remote/dispatcher/state_purchase_view/38261057" ref="B447" r:id="rId893"/>
    <hyperlink display="https://my.zakupki.prom.ua/remote/dispatcher/state_contracting_view/14418273" ref="D447" r:id="rId894"/>
    <hyperlink display="https://my.zakupki.prom.ua/remote/dispatcher/state_purchase_view/38647029" ref="B448" r:id="rId895"/>
    <hyperlink display="https://my.zakupki.prom.ua/remote/dispatcher/state_contracting_view/14598740" ref="D448" r:id="rId896"/>
    <hyperlink display="https://my.zakupki.prom.ua/remote/dispatcher/state_purchase_view/38647519" ref="B449" r:id="rId897"/>
    <hyperlink display="https://my.zakupki.prom.ua/remote/dispatcher/state_contracting_view/14598742" ref="D449" r:id="rId898"/>
    <hyperlink display="https://my.zakupki.prom.ua/remote/dispatcher/state_purchase_view/38258199" ref="B450" r:id="rId899"/>
    <hyperlink display="https://my.zakupki.prom.ua/remote/dispatcher/state_purchase_lot_view/774804" ref="C450" r:id="rId900"/>
    <hyperlink display="https://my.zakupki.prom.ua/remote/dispatcher/state_contracting_view/14559594" ref="D450" r:id="rId901"/>
    <hyperlink display="https://my.zakupki.prom.ua/remote/dispatcher/state_purchase_view/37201558" ref="B451" r:id="rId902"/>
    <hyperlink display="https://my.zakupki.prom.ua/remote/dispatcher/state_contracting_view/13896422" ref="D451" r:id="rId903"/>
    <hyperlink display="https://my.zakupki.prom.ua/remote/dispatcher/state_purchase_view/37042692" ref="B452" r:id="rId904"/>
    <hyperlink display="https://my.zakupki.prom.ua/remote/dispatcher/state_contracting_view/13819830" ref="D452" r:id="rId905"/>
    <hyperlink display="https://my.zakupki.prom.ua/remote/dispatcher/state_purchase_view/37707730" ref="B453" r:id="rId906"/>
    <hyperlink display="https://my.zakupki.prom.ua/remote/dispatcher/state_contracting_view/14143738" ref="D453" r:id="rId907"/>
    <hyperlink display="https://my.zakupki.prom.ua/remote/dispatcher/state_purchase_view/37708703" ref="B454" r:id="rId908"/>
    <hyperlink display="https://my.zakupki.prom.ua/remote/dispatcher/state_contracting_view/14144307" ref="D454" r:id="rId909"/>
    <hyperlink display="https://my.zakupki.prom.ua/remote/dispatcher/state_purchase_view/37719639" ref="B455" r:id="rId910"/>
    <hyperlink display="https://my.zakupki.prom.ua/remote/dispatcher/state_contracting_view/14149774" ref="D455" r:id="rId911"/>
    <hyperlink display="https://my.zakupki.prom.ua/remote/dispatcher/state_purchase_view/37776109" ref="B456" r:id="rId912"/>
    <hyperlink display="https://my.zakupki.prom.ua/remote/dispatcher/state_contracting_view/14177545" ref="D456" r:id="rId913"/>
    <hyperlink display="https://my.zakupki.prom.ua/remote/dispatcher/state_purchase_view/36715506" ref="B457" r:id="rId914"/>
    <hyperlink display="https://my.zakupki.prom.ua/remote/dispatcher/state_contracting_view/13665501" ref="D457" r:id="rId915"/>
    <hyperlink display="https://my.zakupki.prom.ua/remote/dispatcher/state_purchase_view/36745127" ref="B458" r:id="rId916"/>
    <hyperlink display="https://my.zakupki.prom.ua/remote/dispatcher/state_contracting_view/13679139" ref="D458" r:id="rId917"/>
    <hyperlink display="https://my.zakupki.prom.ua/remote/dispatcher/state_purchase_view/37521004" ref="B459" r:id="rId918"/>
    <hyperlink display="https://my.zakupki.prom.ua/remote/dispatcher/state_contracting_view/14051609" ref="D459" r:id="rId919"/>
    <hyperlink display="https://my.zakupki.prom.ua/remote/dispatcher/state_purchase_view/37323044" ref="B460" r:id="rId920"/>
    <hyperlink display="https://my.zakupki.prom.ua/remote/dispatcher/state_contracting_view/13955487" ref="D460" r:id="rId921"/>
    <hyperlink display="https://my.zakupki.prom.ua/remote/dispatcher/state_purchase_view/36753204" ref="B461" r:id="rId922"/>
    <hyperlink display="https://my.zakupki.prom.ua/remote/dispatcher/state_contracting_view/13682942" ref="D461" r:id="rId923"/>
    <hyperlink display="https://my.zakupki.prom.ua/remote/dispatcher/state_purchase_view/37705821" ref="B462" r:id="rId924"/>
    <hyperlink display="https://my.zakupki.prom.ua/remote/dispatcher/state_contracting_view/14142835" ref="D462" r:id="rId925"/>
    <hyperlink display="https://my.zakupki.prom.ua/remote/dispatcher/state_purchase_view/38021627" ref="B463" r:id="rId926"/>
    <hyperlink display="https://my.zakupki.prom.ua/remote/dispatcher/state_contracting_view/14297531" ref="D463" r:id="rId927"/>
    <hyperlink display="https://my.zakupki.prom.ua/remote/dispatcher/state_purchase_view/38031221" ref="B464" r:id="rId928"/>
    <hyperlink display="https://my.zakupki.prom.ua/remote/dispatcher/state_contracting_view/14302353" ref="D464" r:id="rId929"/>
    <hyperlink display="https://my.zakupki.prom.ua/remote/dispatcher/state_purchase_view/38148397" ref="B465" r:id="rId930"/>
    <hyperlink display="https://my.zakupki.prom.ua/remote/dispatcher/state_contracting_view/14366232" ref="D465" r:id="rId931"/>
    <hyperlink display="https://my.zakupki.prom.ua/remote/dispatcher/state_purchase_view/36073570" ref="B466" r:id="rId932"/>
    <hyperlink display="https://my.zakupki.prom.ua/remote/dispatcher/state_contracting_view/13344691" ref="D466" r:id="rId933"/>
    <hyperlink display="https://my.zakupki.prom.ua/remote/dispatcher/state_purchase_view/35957945" ref="B467" r:id="rId934"/>
    <hyperlink display="https://my.zakupki.prom.ua/remote/dispatcher/state_contracting_view/13285214" ref="D467" r:id="rId935"/>
    <hyperlink display="https://my.zakupki.prom.ua/remote/dispatcher/state_purchase_view/35642367" ref="B468" r:id="rId936"/>
    <hyperlink display="https://my.zakupki.prom.ua/remote/dispatcher/state_contracting_view/13119707" ref="D468" r:id="rId937"/>
    <hyperlink display="https://my.zakupki.prom.ua/remote/dispatcher/state_purchase_view/35642532" ref="B469" r:id="rId938"/>
    <hyperlink display="https://my.zakupki.prom.ua/remote/dispatcher/state_contracting_view/13119904" ref="D469" r:id="rId939"/>
    <hyperlink display="https://my.zakupki.prom.ua/remote/dispatcher/state_purchase_view/34929804" ref="B470" r:id="rId940"/>
    <hyperlink display="https://my.zakupki.prom.ua/remote/dispatcher/state_contracting_view/12772693" ref="D470" r:id="rId941"/>
    <hyperlink display="https://my.zakupki.prom.ua/remote/dispatcher/state_purchase_view/36009384" ref="B471" r:id="rId942"/>
    <hyperlink display="https://my.zakupki.prom.ua/remote/dispatcher/state_contracting_view/13312346" ref="D471" r:id="rId943"/>
    <hyperlink display="https://my.zakupki.prom.ua/remote/dispatcher/state_purchase_view/36250870" ref="B472" r:id="rId944"/>
    <hyperlink display="https://my.zakupki.prom.ua/remote/dispatcher/state_contracting_view/13436018" ref="D472" r:id="rId945"/>
    <hyperlink display="https://my.zakupki.prom.ua/remote/dispatcher/state_purchase_view/34530452" ref="B473" r:id="rId946"/>
    <hyperlink display="https://my.zakupki.prom.ua/remote/dispatcher/state_contracting_view/12589806" ref="D473" r:id="rId947"/>
    <hyperlink display="https://my.zakupki.prom.ua/remote/dispatcher/state_purchase_view/34787421" ref="B474" r:id="rId948"/>
    <hyperlink display="https://my.zakupki.prom.ua/remote/dispatcher/state_contracting_view/12705034" ref="D474" r:id="rId949"/>
    <hyperlink display="https://my.zakupki.prom.ua/remote/dispatcher/state_purchase_view/35267194" ref="B475" r:id="rId950"/>
    <hyperlink display="https://my.zakupki.prom.ua/remote/dispatcher/state_contracting_view/12937392" ref="D475" r:id="rId951"/>
    <hyperlink display="https://my.zakupki.prom.ua/remote/dispatcher/state_purchase_view/35142882" ref="B476" r:id="rId952"/>
    <hyperlink display="https://my.zakupki.prom.ua/remote/dispatcher/state_contracting_view/12872547" ref="D476" r:id="rId953"/>
    <hyperlink display="https://my.zakupki.prom.ua/remote/dispatcher/state_purchase_view/35142267" ref="B477" r:id="rId954"/>
    <hyperlink display="https://my.zakupki.prom.ua/remote/dispatcher/state_contracting_view/12872120" ref="D477" r:id="rId955"/>
    <hyperlink display="https://my.zakupki.prom.ua/remote/dispatcher/state_purchase_view/34798012" ref="B478" r:id="rId956"/>
    <hyperlink display="https://my.zakupki.prom.ua/remote/dispatcher/state_contracting_view/12719317" ref="D478" r:id="rId957"/>
    <hyperlink display="https://my.zakupki.prom.ua/remote/dispatcher/state_purchase_view/35578753" ref="B479" r:id="rId958"/>
    <hyperlink display="https://my.zakupki.prom.ua/remote/dispatcher/state_contracting_view/13085153" ref="D479" r:id="rId959"/>
    <hyperlink display="https://my.zakupki.prom.ua/remote/dispatcher/state_purchase_view/34551625" ref="B480" r:id="rId960"/>
    <hyperlink display="https://my.zakupki.prom.ua/remote/dispatcher/state_contracting_view/13060521" ref="D480" r:id="rId961"/>
    <hyperlink display="https://my.zakupki.prom.ua/remote/dispatcher/state_purchase_view/38292149" ref="B481" r:id="rId962"/>
    <hyperlink display="https://my.zakupki.prom.ua/remote/dispatcher/state_contracting_view/14435958" ref="D481" r:id="rId963"/>
    <hyperlink display="https://my.zakupki.prom.ua/remote/dispatcher/state_purchase_view/39627884" ref="B482" r:id="rId964"/>
    <hyperlink display="https://my.zakupki.prom.ua/remote/dispatcher/state_contracting_view/15055650" ref="D482" r:id="rId965"/>
    <hyperlink display="https://my.zakupki.prom.ua/remote/dispatcher/state_purchase_view/39743462" ref="B483" r:id="rId966"/>
    <hyperlink display="https://my.zakupki.prom.ua/remote/dispatcher/state_contracting_view/15111189" ref="D483" r:id="rId967"/>
    <hyperlink display="https://my.zakupki.prom.ua/remote/dispatcher/state_purchase_view/39744855" ref="B484" r:id="rId968"/>
    <hyperlink display="https://my.zakupki.prom.ua/remote/dispatcher/state_contracting_view/15111975" ref="D484" r:id="rId969"/>
    <hyperlink display="https://my.zakupki.prom.ua/remote/dispatcher/state_purchase_view/38353767" ref="B485" r:id="rId970"/>
    <hyperlink display="https://my.zakupki.prom.ua/remote/dispatcher/state_contracting_view/14463194" ref="D485" r:id="rId971"/>
    <hyperlink display="https://my.zakupki.prom.ua/remote/dispatcher/state_purchase_view/36731930" ref="B486" r:id="rId972"/>
    <hyperlink display="https://my.zakupki.prom.ua/remote/dispatcher/state_contracting_view/13672945" ref="D486" r:id="rId973"/>
    <hyperlink display="https://my.zakupki.prom.ua/remote/dispatcher/state_purchase_view/36753642" ref="B487" r:id="rId974"/>
    <hyperlink display="https://my.zakupki.prom.ua/remote/dispatcher/state_contracting_view/13683148" ref="D487" r:id="rId975"/>
    <hyperlink display="https://my.zakupki.prom.ua/remote/dispatcher/state_purchase_view/37718482" ref="B488" r:id="rId976"/>
    <hyperlink display="https://my.zakupki.prom.ua/remote/dispatcher/state_contracting_view/14149187" ref="D488" r:id="rId977"/>
    <hyperlink display="https://my.zakupki.prom.ua/remote/dispatcher/state_purchase_view/37855959" ref="B489" r:id="rId978"/>
    <hyperlink display="https://my.zakupki.prom.ua/remote/dispatcher/state_contracting_view/14216613" ref="D489" r:id="rId979"/>
    <hyperlink display="https://my.zakupki.prom.ua/remote/dispatcher/state_purchase_view/36754354" ref="B490" r:id="rId980"/>
    <hyperlink display="https://my.zakupki.prom.ua/remote/dispatcher/state_contracting_view/13683498" ref="D490" r:id="rId981"/>
    <hyperlink display="https://my.zakupki.prom.ua/remote/dispatcher/state_purchase_view/36993182" ref="B491" r:id="rId982"/>
    <hyperlink display="https://my.zakupki.prom.ua/remote/dispatcher/state_contracting_view/13796348" ref="D491" r:id="rId983"/>
    <hyperlink display="https://my.zakupki.prom.ua/remote/dispatcher/state_purchase_view/36585269" ref="B492" r:id="rId984"/>
    <hyperlink display="https://my.zakupki.prom.ua/remote/dispatcher/state_contracting_view/13604640" ref="D492" r:id="rId985"/>
    <hyperlink display="https://my.zakupki.prom.ua/remote/dispatcher/state_purchase_view/37335387" ref="B493" r:id="rId986"/>
    <hyperlink display="https://my.zakupki.prom.ua/remote/dispatcher/state_contracting_view/13961502" ref="D493" r:id="rId987"/>
    <hyperlink display="https://my.zakupki.prom.ua/remote/dispatcher/state_purchase_view/37473395" ref="B494" r:id="rId988"/>
    <hyperlink display="https://my.zakupki.prom.ua/remote/dispatcher/state_contracting_view/14028543" ref="D494" r:id="rId989"/>
    <hyperlink display="https://my.zakupki.prom.ua/remote/dispatcher/state_purchase_view/37322972" ref="B495" r:id="rId990"/>
    <hyperlink display="https://my.zakupki.prom.ua/remote/dispatcher/state_contracting_view/13955668" ref="D495" r:id="rId991"/>
    <hyperlink display="https://my.zakupki.prom.ua/remote/dispatcher/state_purchase_view/37322641" ref="B496" r:id="rId992"/>
    <hyperlink display="https://my.zakupki.prom.ua/remote/dispatcher/state_contracting_view/13955273" ref="D496" r:id="rId993"/>
    <hyperlink display="https://my.zakupki.prom.ua/remote/dispatcher/state_purchase_view/34145234" ref="B497" r:id="rId994"/>
    <hyperlink display="https://my.zakupki.prom.ua/remote/dispatcher/state_contracting_view/12416940" ref="D497" r:id="rId995"/>
    <hyperlink display="https://my.zakupki.prom.ua/remote/dispatcher/state_purchase_view/34368693" ref="B498" r:id="rId996"/>
    <hyperlink display="https://my.zakupki.prom.ua/remote/dispatcher/state_contracting_view/12512267" ref="D498" r:id="rId997"/>
    <hyperlink display="https://my.zakupki.prom.ua/remote/dispatcher/state_purchase_view/34258895" ref="B499" r:id="rId998"/>
    <hyperlink display="https://my.zakupki.prom.ua/remote/dispatcher/state_contracting_view/12465568" ref="D499" r:id="rId999"/>
    <hyperlink display="https://my.zakupki.prom.ua/remote/dispatcher/state_purchase_view/34460497" ref="B500" r:id="rId1000"/>
    <hyperlink display="https://my.zakupki.prom.ua/remote/dispatcher/state_contracting_view/12553776" ref="D500" r:id="rId1001"/>
    <hyperlink display="https://my.zakupki.prom.ua/remote/dispatcher/state_purchase_view/34534376" ref="B501" r:id="rId1002"/>
    <hyperlink display="https://my.zakupki.prom.ua/remote/dispatcher/state_contracting_view/12590545" ref="D501" r:id="rId1003"/>
    <hyperlink display="https://my.zakupki.prom.ua/remote/dispatcher/state_purchase_view/34947921" ref="B502" r:id="rId1004"/>
    <hyperlink display="https://my.zakupki.prom.ua/remote/dispatcher/state_contracting_view/12785162" ref="D502" r:id="rId1005"/>
    <hyperlink display="https://my.zakupki.prom.ua/remote/dispatcher/state_purchase_view/34793964" ref="B503" r:id="rId1006"/>
    <hyperlink display="https://my.zakupki.prom.ua/remote/dispatcher/state_contracting_view/12718646" ref="D503" r:id="rId1007"/>
    <hyperlink display="https://my.zakupki.prom.ua/remote/dispatcher/state_purchase_view/34794753" ref="B504" r:id="rId1008"/>
    <hyperlink display="https://my.zakupki.prom.ua/remote/dispatcher/state_contracting_view/12718796" ref="D504" r:id="rId1009"/>
    <hyperlink display="https://my.zakupki.prom.ua/remote/dispatcher/state_purchase_view/34794259" ref="B505" r:id="rId1010"/>
    <hyperlink display="https://my.zakupki.prom.ua/remote/dispatcher/state_contracting_view/12718920" ref="D505" r:id="rId1011"/>
    <hyperlink display="https://my.zakupki.prom.ua/remote/dispatcher/state_purchase_view/35790351" ref="B506" r:id="rId1012"/>
    <hyperlink display="https://my.zakupki.prom.ua/remote/dispatcher/state_contracting_view/13201156" ref="D506" r:id="rId1013"/>
    <hyperlink display="https://my.zakupki.prom.ua/remote/dispatcher/state_purchase_view/33937916" ref="B507" r:id="rId1014"/>
    <hyperlink display="https://my.zakupki.prom.ua/remote/dispatcher/state_contracting_view/12339948" ref="D507" r:id="rId1015"/>
    <hyperlink display="https://my.zakupki.prom.ua/remote/dispatcher/state_purchase_view/36121445" ref="B508" r:id="rId1016"/>
    <hyperlink display="https://my.zakupki.prom.ua/remote/dispatcher/state_contracting_view/13367255" ref="D508" r:id="rId1017"/>
    <hyperlink display="https://my.zakupki.prom.ua/remote/dispatcher/state_purchase_view/36167424" ref="B509" r:id="rId1018"/>
    <hyperlink display="https://my.zakupki.prom.ua/remote/dispatcher/state_contracting_view/13392869" ref="D509" r:id="rId1019"/>
    <hyperlink display="https://my.zakupki.prom.ua/remote/dispatcher/state_purchase_view/35196013" ref="B510" r:id="rId1020"/>
    <hyperlink display="https://my.zakupki.prom.ua/remote/dispatcher/state_contracting_view/12902747" ref="D510" r:id="rId1021"/>
    <hyperlink display="https://my.zakupki.prom.ua/remote/dispatcher/state_purchase_view/35286824" ref="B511" r:id="rId1022"/>
    <hyperlink display="https://my.zakupki.prom.ua/remote/dispatcher/state_contracting_view/12941967" ref="D511" r:id="rId1023"/>
    <hyperlink display="https://my.zakupki.prom.ua/remote/dispatcher/state_purchase_view/36230153" ref="B512" r:id="rId1024"/>
    <hyperlink display="https://my.zakupki.prom.ua/remote/dispatcher/state_contracting_view/13425265" ref="D512" r:id="rId1025"/>
    <hyperlink display="https://my.zakupki.prom.ua/remote/dispatcher/state_purchase_view/35802785" ref="B513" r:id="rId1026"/>
    <hyperlink display="https://my.zakupki.prom.ua/remote/dispatcher/state_contracting_view/13205051" ref="D513" r:id="rId1027"/>
    <hyperlink display="https://my.zakupki.prom.ua/remote/dispatcher/state_purchase_view/35947262" ref="B514" r:id="rId1028"/>
    <hyperlink display="https://my.zakupki.prom.ua/remote/dispatcher/state_contracting_view/13279276" ref="D514" r:id="rId1029"/>
    <hyperlink display="https://my.zakupki.prom.ua/remote/dispatcher/state_purchase_view/36438522" ref="B515" r:id="rId1030"/>
    <hyperlink display="https://my.zakupki.prom.ua/remote/dispatcher/state_contracting_view/13531410" ref="D515" r:id="rId1031"/>
    <hyperlink display="https://my.zakupki.prom.ua/remote/dispatcher/state_purchase_view/35144459" ref="B516" r:id="rId1032"/>
    <hyperlink display="https://my.zakupki.prom.ua/remote/dispatcher/state_contracting_view/12877876" ref="D516" r:id="rId1033"/>
    <hyperlink display="https://my.zakupki.prom.ua/remote/dispatcher/state_purchase_view/39779680" ref="B517" r:id="rId1034"/>
    <hyperlink display="https://my.zakupki.prom.ua/remote/dispatcher/state_contracting_view/15129407" ref="D517" r:id="rId1035"/>
    <hyperlink display="https://my.zakupki.prom.ua/remote/dispatcher/state_purchase_view/38618226" ref="B518" r:id="rId1036"/>
    <hyperlink display="https://my.zakupki.prom.ua/remote/dispatcher/state_contracting_view/14586275" ref="D518" r:id="rId1037"/>
    <hyperlink display="https://my.zakupki.prom.ua/remote/dispatcher/state_purchase_view/38686913" ref="B519" r:id="rId1038"/>
    <hyperlink display="https://my.zakupki.prom.ua/remote/dispatcher/state_contracting_view/14616935" ref="D519" r:id="rId1039"/>
    <hyperlink display="https://my.zakupki.prom.ua/remote/dispatcher/state_purchase_view/38210329" ref="B520" r:id="rId1040"/>
    <hyperlink display="https://my.zakupki.prom.ua/remote/dispatcher/state_contracting_view/14393843" ref="D520" r:id="rId1041"/>
    <hyperlink display="https://my.zakupki.prom.ua/remote/dispatcher/state_purchase_view/36404414" ref="B521" r:id="rId1042"/>
    <hyperlink display="https://my.zakupki.prom.ua/remote/dispatcher/state_contracting_view/13514396" ref="D521" r:id="rId1043"/>
    <hyperlink display="https://my.zakupki.prom.ua/remote/dispatcher/state_purchase_view/39728961" ref="B522" r:id="rId1044"/>
    <hyperlink display="https://my.zakupki.prom.ua/remote/dispatcher/state_contracting_view/15104272" ref="D522" r:id="rId1045"/>
    <hyperlink display="https://my.zakupki.prom.ua/remote/dispatcher/state_purchase_view/39745773" ref="B523" r:id="rId1046"/>
    <hyperlink display="https://my.zakupki.prom.ua/remote/dispatcher/state_contracting_view/15112356" ref="D523" r:id="rId1047"/>
    <hyperlink display="https://my.zakupki.prom.ua/remote/dispatcher/state_purchase_view/38115496" ref="B524" r:id="rId1048"/>
    <hyperlink display="https://my.zakupki.prom.ua/remote/dispatcher/state_contracting_view/14346513" ref="D524" r:id="rId1049"/>
    <hyperlink display="https://my.zakupki.prom.ua/remote/dispatcher/state_purchase_view/38149945" ref="B525" r:id="rId1050"/>
    <hyperlink display="https://my.zakupki.prom.ua/remote/dispatcher/state_contracting_view/14366228" ref="D525" r:id="rId1051"/>
    <hyperlink display="https://my.zakupki.prom.ua/remote/dispatcher/state_purchase_view/38503020" ref="B526" r:id="rId1052"/>
    <hyperlink display="https://my.zakupki.prom.ua/remote/dispatcher/state_contracting_view/14531974" ref="D526" r:id="rId1053"/>
    <hyperlink display="https://my.zakupki.prom.ua/remote/dispatcher/state_purchase_view/37842086" ref="B527" r:id="rId1054"/>
    <hyperlink display="https://my.zakupki.prom.ua/remote/dispatcher/state_contracting_view/14209903" ref="D527" r:id="rId1055"/>
    <hyperlink display="https://my.zakupki.prom.ua/remote/dispatcher/state_purchase_view/37774589" ref="B528" r:id="rId1056"/>
    <hyperlink display="https://my.zakupki.prom.ua/remote/dispatcher/state_contracting_view/14177025" ref="D528" r:id="rId1057"/>
    <hyperlink display="https://my.zakupki.prom.ua/remote/dispatcher/state_purchase_view/37140619" ref="B529" r:id="rId1058"/>
    <hyperlink display="https://my.zakupki.prom.ua/remote/dispatcher/state_contracting_view/13866590" ref="D529" r:id="rId1059"/>
    <hyperlink display="https://my.zakupki.prom.ua/remote/dispatcher/state_purchase_view/36719259" ref="B530" r:id="rId1060"/>
    <hyperlink display="https://my.zakupki.prom.ua/remote/dispatcher/state_contracting_view/13667169" ref="D530" r:id="rId1061"/>
    <hyperlink display="https://my.zakupki.prom.ua/remote/dispatcher/state_purchase_view/36673167" ref="B531" r:id="rId1062"/>
    <hyperlink display="https://my.zakupki.prom.ua/remote/dispatcher/state_contracting_view/13645848" ref="D531" r:id="rId1063"/>
    <hyperlink display="https://my.zakupki.prom.ua/remote/dispatcher/state_purchase_view/36707266" ref="B532" r:id="rId1064"/>
    <hyperlink display="https://my.zakupki.prom.ua/remote/dispatcher/state_contracting_view/13661917" ref="D532" r:id="rId1065"/>
    <hyperlink display="https://my.zakupki.prom.ua/remote/dispatcher/state_purchase_view/36707617" ref="B533" r:id="rId1066"/>
    <hyperlink display="https://my.zakupki.prom.ua/remote/dispatcher/state_contracting_view/13661713" ref="D533" r:id="rId1067"/>
    <hyperlink display="https://my.zakupki.prom.ua/remote/dispatcher/state_purchase_view/36743218" ref="B534" r:id="rId1068"/>
    <hyperlink display="https://my.zakupki.prom.ua/remote/dispatcher/state_contracting_view/13678279" ref="D534" r:id="rId1069"/>
    <hyperlink display="https://my.zakupki.prom.ua/remote/dispatcher/state_purchase_view/36743775" ref="B535" r:id="rId1070"/>
    <hyperlink display="https://my.zakupki.prom.ua/remote/dispatcher/state_contracting_view/13678555" ref="D535" r:id="rId1071"/>
    <hyperlink display="https://my.zakupki.prom.ua/remote/dispatcher/state_purchase_view/37398727" ref="B536" r:id="rId1072"/>
    <hyperlink display="https://my.zakupki.prom.ua/remote/dispatcher/state_contracting_view/13992479" ref="D536" r:id="rId1073"/>
    <hyperlink display="https://my.zakupki.prom.ua/remote/dispatcher/state_purchase_view/37588331" ref="B537" r:id="rId1074"/>
    <hyperlink display="https://my.zakupki.prom.ua/remote/dispatcher/state_contracting_view/14084499" ref="D537" r:id="rId1075"/>
    <hyperlink display="https://my.zakupki.prom.ua/remote/dispatcher/state_purchase_view/37709119" ref="B538" r:id="rId1076"/>
    <hyperlink display="https://my.zakupki.prom.ua/remote/dispatcher/state_contracting_view/14144508" ref="D538" r:id="rId1077"/>
    <hyperlink display="https://my.zakupki.prom.ua/remote/dispatcher/state_purchase_view/36526015" ref="B539" r:id="rId1078"/>
    <hyperlink display="https://my.zakupki.prom.ua/remote/dispatcher/state_contracting_view/13575500" ref="D539" r:id="rId1079"/>
    <hyperlink display="https://my.zakupki.prom.ua/remote/dispatcher/state_purchase_view/37774311" ref="B540" r:id="rId1080"/>
    <hyperlink display="https://my.zakupki.prom.ua/remote/dispatcher/state_contracting_view/14176812" ref="D540" r:id="rId1081"/>
    <hyperlink display="https://my.zakupki.prom.ua/remote/dispatcher/state_purchase_view/36838070" ref="B541" r:id="rId1082"/>
    <hyperlink display="https://my.zakupki.prom.ua/remote/dispatcher/state_contracting_view/13722948" ref="D541" r:id="rId1083"/>
    <hyperlink display="https://my.zakupki.prom.ua/remote/dispatcher/state_purchase_view/35642725" ref="B542" r:id="rId1084"/>
    <hyperlink display="https://my.zakupki.prom.ua/remote/dispatcher/state_contracting_view/13120030" ref="D542" r:id="rId1085"/>
    <hyperlink display="https://my.zakupki.prom.ua/remote/dispatcher/state_purchase_view/35939393" ref="B543" r:id="rId1086"/>
    <hyperlink display="https://my.zakupki.prom.ua/remote/dispatcher/state_contracting_view/13275393" ref="D543" r:id="rId1087"/>
    <hyperlink display="https://my.zakupki.prom.ua/remote/dispatcher/state_purchase_view/35843496" ref="B544" r:id="rId1088"/>
    <hyperlink display="https://my.zakupki.prom.ua/remote/dispatcher/state_contracting_view/13226343" ref="D544" r:id="rId1089"/>
    <hyperlink display="https://my.zakupki.prom.ua/remote/dispatcher/state_purchase_view/35790553" ref="B545" r:id="rId1090"/>
    <hyperlink display="https://my.zakupki.prom.ua/remote/dispatcher/state_contracting_view/13201178" ref="D545" r:id="rId1091"/>
    <hyperlink display="https://my.zakupki.prom.ua/remote/dispatcher/state_purchase_view/35712288" ref="B546" r:id="rId1092"/>
    <hyperlink display="https://my.zakupki.prom.ua/remote/dispatcher/state_contracting_view/13157090" ref="D546" r:id="rId1093"/>
    <hyperlink display="https://my.zakupki.prom.ua/remote/dispatcher/state_purchase_view/35938780" ref="B547" r:id="rId1094"/>
    <hyperlink display="https://my.zakupki.prom.ua/remote/dispatcher/state_contracting_view/13274974" ref="D547" r:id="rId1095"/>
    <hyperlink display="https://my.zakupki.prom.ua/remote/dispatcher/state_purchase_view/35223755" ref="B548" r:id="rId1096"/>
    <hyperlink display="https://my.zakupki.prom.ua/remote/dispatcher/state_contracting_view/12913426" ref="D548" r:id="rId1097"/>
    <hyperlink display="https://my.zakupki.prom.ua/remote/dispatcher/state_purchase_view/35221547" ref="B549" r:id="rId1098"/>
    <hyperlink display="https://my.zakupki.prom.ua/remote/dispatcher/state_contracting_view/12914364" ref="D549" r:id="rId1099"/>
    <hyperlink display="https://my.zakupki.prom.ua/remote/dispatcher/state_purchase_view/35598766" ref="B550" r:id="rId1100"/>
    <hyperlink display="https://my.zakupki.prom.ua/remote/dispatcher/state_contracting_view/13095873" ref="D550" r:id="rId1101"/>
    <hyperlink display="https://my.zakupki.prom.ua/remote/dispatcher/state_purchase_view/35556440" ref="B551" r:id="rId1102"/>
    <hyperlink display="https://my.zakupki.prom.ua/remote/dispatcher/state_contracting_view/13073457" ref="D551" r:id="rId1103"/>
    <hyperlink display="https://my.zakupki.prom.ua/remote/dispatcher/state_purchase_view/34805743" ref="B552" r:id="rId1104"/>
    <hyperlink display="https://my.zakupki.prom.ua/remote/dispatcher/state_contracting_view/13110727" ref="D552" r:id="rId1105"/>
    <hyperlink display="https://my.zakupki.prom.ua/remote/dispatcher/state_purchase_view/35691462" ref="B553" r:id="rId1106"/>
    <hyperlink display="https://my.zakupki.prom.ua/remote/dispatcher/state_contracting_view/13146215" ref="D553" r:id="rId1107"/>
    <hyperlink display="https://my.zakupki.prom.ua/remote/dispatcher/state_purchase_view/35704883" ref="B554" r:id="rId1108"/>
    <hyperlink display="https://my.zakupki.prom.ua/remote/dispatcher/state_contracting_view/13153808" ref="D554" r:id="rId1109"/>
    <hyperlink display="https://my.zakupki.prom.ua/remote/dispatcher/state_purchase_view/36158176" ref="B555" r:id="rId1110"/>
    <hyperlink display="https://my.zakupki.prom.ua/remote/dispatcher/state_contracting_view/13387077" ref="D555" r:id="rId1111"/>
    <hyperlink display="https://my.zakupki.prom.ua/remote/dispatcher/state_purchase_view/36158096" ref="B556" r:id="rId1112"/>
    <hyperlink display="https://my.zakupki.prom.ua/remote/dispatcher/state_contracting_view/13387082" ref="D556" r:id="rId1113"/>
    <hyperlink display="https://my.zakupki.prom.ua/remote/dispatcher/state_purchase_view/34087917" ref="B557" r:id="rId1114"/>
    <hyperlink display="https://my.zakupki.prom.ua/remote/dispatcher/state_contracting_view/12436064" ref="D557" r:id="rId1115"/>
    <hyperlink display="https://my.zakupki.prom.ua/remote/dispatcher/state_purchase_view/33235536" ref="B558" r:id="rId1116"/>
    <hyperlink display="https://my.zakupki.prom.ua/remote/dispatcher/state_contracting_view/12375119" ref="D558" r:id="rId1117"/>
    <hyperlink display="https://my.zakupki.prom.ua/remote/dispatcher/state_purchase_view/37669291" ref="B559" r:id="rId1118"/>
    <hyperlink display="https://my.zakupki.prom.ua/remote/dispatcher/state_contracting_view/14124408" ref="D559" r:id="rId1119"/>
    <hyperlink display="https://my.zakupki.prom.ua/remote/dispatcher/state_purchase_view/36708613" ref="B560" r:id="rId1120"/>
    <hyperlink display="https://my.zakupki.prom.ua/remote/dispatcher/state_contracting_view/13662418" ref="D560" r:id="rId1121"/>
    <hyperlink display="https://my.zakupki.prom.ua/remote/dispatcher/state_purchase_view/36715778" ref="B561" r:id="rId1122"/>
    <hyperlink display="https://my.zakupki.prom.ua/remote/dispatcher/state_contracting_view/13665664" ref="D561" r:id="rId1123"/>
    <hyperlink display="https://my.zakupki.prom.ua/remote/dispatcher/state_purchase_view/36743844" ref="B562" r:id="rId1124"/>
    <hyperlink display="https://my.zakupki.prom.ua/remote/dispatcher/state_contracting_view/13678731" ref="D562" r:id="rId1125"/>
    <hyperlink display="https://my.zakupki.prom.ua/remote/dispatcher/state_purchase_view/36694120" ref="B563" r:id="rId1126"/>
    <hyperlink display="https://my.zakupki.prom.ua/remote/dispatcher/state_contracting_view/13655567" ref="D563" r:id="rId1127"/>
    <hyperlink display="https://my.zakupki.prom.ua/remote/dispatcher/state_purchase_view/37024791" ref="B564" r:id="rId1128"/>
    <hyperlink display="https://my.zakupki.prom.ua/remote/dispatcher/state_contracting_view/13811040" ref="D564" r:id="rId1129"/>
    <hyperlink display="https://my.zakupki.prom.ua/remote/dispatcher/state_purchase_view/37119717" ref="B565" r:id="rId1130"/>
    <hyperlink display="https://my.zakupki.prom.ua/remote/dispatcher/state_contracting_view/13856407" ref="D565" r:id="rId1131"/>
    <hyperlink display="https://my.zakupki.prom.ua/remote/dispatcher/state_purchase_view/37160199" ref="B566" r:id="rId1132"/>
    <hyperlink display="https://my.zakupki.prom.ua/remote/dispatcher/state_contracting_view/13876022" ref="D566" r:id="rId1133"/>
    <hyperlink display="https://my.zakupki.prom.ua/remote/dispatcher/state_purchase_view/37325246" ref="B567" r:id="rId1134"/>
    <hyperlink display="https://my.zakupki.prom.ua/remote/dispatcher/state_contracting_view/13957331" ref="D567" r:id="rId1135"/>
    <hyperlink display="https://my.zakupki.prom.ua/remote/dispatcher/state_purchase_view/37322127" ref="B568" r:id="rId1136"/>
    <hyperlink display="https://my.zakupki.prom.ua/remote/dispatcher/state_contracting_view/13955314" ref="D568" r:id="rId1137"/>
    <hyperlink display="https://my.zakupki.prom.ua/remote/dispatcher/state_purchase_view/37489509" ref="B569" r:id="rId1138"/>
    <hyperlink display="https://my.zakupki.prom.ua/remote/dispatcher/state_contracting_view/14036348" ref="D569" r:id="rId1139"/>
    <hyperlink display="https://my.zakupki.prom.ua/remote/dispatcher/state_purchase_view/37934856" ref="B570" r:id="rId1140"/>
    <hyperlink display="https://my.zakupki.prom.ua/remote/dispatcher/state_contracting_view/14255001" ref="D570" r:id="rId1141"/>
    <hyperlink display="https://my.zakupki.prom.ua/remote/dispatcher/state_purchase_view/39739325" ref="B571" r:id="rId1142"/>
    <hyperlink display="https://my.zakupki.prom.ua/remote/dispatcher/state_contracting_view/15109158" ref="D571" r:id="rId1143"/>
    <hyperlink display="https://my.zakupki.prom.ua/remote/dispatcher/state_purchase_view/39741600" ref="B572" r:id="rId1144"/>
    <hyperlink display="https://my.zakupki.prom.ua/remote/dispatcher/state_contracting_view/15110414" ref="D572" r:id="rId1145"/>
    <hyperlink display="https://my.zakupki.prom.ua/remote/dispatcher/state_purchase_view/38620288" ref="B573" r:id="rId1146"/>
    <hyperlink display="https://my.zakupki.prom.ua/remote/dispatcher/state_contracting_view/14586093" ref="D573" r:id="rId1147"/>
    <hyperlink display="https://my.zakupki.prom.ua/remote/dispatcher/state_purchase_view/38679395" ref="B574" r:id="rId1148"/>
    <hyperlink display="https://my.zakupki.prom.ua/remote/dispatcher/state_contracting_view/14613568" ref="D574" r:id="rId1149"/>
    <hyperlink display="https://my.zakupki.prom.ua/remote/dispatcher/state_purchase_view/38150630" ref="B575" r:id="rId1150"/>
    <hyperlink display="https://my.zakupki.prom.ua/remote/dispatcher/state_contracting_view/14366632" ref="D575" r:id="rId1151"/>
    <hyperlink display="https://my.zakupki.prom.ua/remote/dispatcher/state_purchase_view/38115606" ref="B576" r:id="rId1152"/>
    <hyperlink display="https://my.zakupki.prom.ua/remote/dispatcher/state_contracting_view/14347086" ref="D576" r:id="rId1153"/>
    <hyperlink display="https://my.zakupki.prom.ua/remote/dispatcher/state_purchase_view/38151636" ref="B577" r:id="rId1154"/>
    <hyperlink display="https://my.zakupki.prom.ua/remote/dispatcher/state_contracting_view/14366816" ref="D577" r:id="rId1155"/>
    <hyperlink display="https://my.zakupki.prom.ua/remote/dispatcher/state_purchase_view/38023278" ref="B578" r:id="rId1156"/>
    <hyperlink display="https://my.zakupki.prom.ua/remote/dispatcher/state_contracting_view/14298659" ref="D578" r:id="rId1157"/>
    <hyperlink display="https://my.zakupki.prom.ua/remote/dispatcher/state_purchase_view/39535235" ref="B579" r:id="rId1158"/>
    <hyperlink display="https://my.zakupki.prom.ua/remote/dispatcher/state_contracting_view/15010960" ref="D579" r:id="rId1159"/>
    <hyperlink display="https://my.zakupki.prom.ua/remote/dispatcher/state_purchase_view/39356383" ref="B580" r:id="rId1160"/>
    <hyperlink display="https://my.zakupki.prom.ua/remote/dispatcher/state_contracting_view/14925624" ref="D580" r:id="rId1161"/>
    <hyperlink display="https://my.zakupki.prom.ua/remote/dispatcher/state_purchase_view/39549611" ref="B581" r:id="rId1162"/>
    <hyperlink display="https://my.zakupki.prom.ua/remote/dispatcher/state_contracting_view/15017376" ref="D581" r:id="rId1163"/>
    <hyperlink display="https://my.zakupki.prom.ua/remote/dispatcher/state_purchase_view/36487230" ref="B582" r:id="rId1164"/>
    <hyperlink display="https://my.zakupki.prom.ua/remote/dispatcher/state_contracting_view/13556519" ref="D582" r:id="rId1165"/>
    <hyperlink display="https://my.zakupki.prom.ua/remote/dispatcher/state_purchase_view/37940765" ref="B583" r:id="rId1166"/>
    <hyperlink display="https://my.zakupki.prom.ua/remote/dispatcher/state_contracting_view/14258005" ref="D583" r:id="rId1167"/>
    <hyperlink display="https://my.zakupki.prom.ua/remote/dispatcher/state_purchase_view/36720446" ref="B584" r:id="rId1168"/>
    <hyperlink display="https://my.zakupki.prom.ua/remote/dispatcher/state_contracting_view/13667636" ref="D584" r:id="rId1169"/>
    <hyperlink display="https://my.zakupki.prom.ua/remote/dispatcher/state_purchase_view/36752649" ref="B585" r:id="rId1170"/>
    <hyperlink display="https://my.zakupki.prom.ua/remote/dispatcher/state_contracting_view/13682694" ref="D585" r:id="rId1171"/>
    <hyperlink display="https://my.zakupki.prom.ua/remote/dispatcher/state_purchase_view/36753364" ref="B586" r:id="rId1172"/>
    <hyperlink display="https://my.zakupki.prom.ua/remote/dispatcher/state_contracting_view/13683090" ref="D586" r:id="rId1173"/>
    <hyperlink display="https://my.zakupki.prom.ua/remote/dispatcher/state_purchase_view/38152372" ref="B587" r:id="rId1174"/>
    <hyperlink display="https://my.zakupki.prom.ua/remote/dispatcher/state_contracting_view/14367132" ref="D587" r:id="rId1175"/>
    <hyperlink display="https://my.zakupki.prom.ua/remote/dispatcher/state_purchase_view/38209725" ref="B588" r:id="rId1176"/>
    <hyperlink display="https://my.zakupki.prom.ua/remote/dispatcher/state_contracting_view/14394082" ref="D588" r:id="rId1177"/>
    <hyperlink display="https://my.zakupki.prom.ua/remote/dispatcher/state_purchase_view/37330709" ref="B589" r:id="rId1178"/>
    <hyperlink display="https://my.zakupki.prom.ua/remote/dispatcher/state_contracting_view/13959977" ref="D589" r:id="rId1179"/>
    <hyperlink display="https://my.zakupki.prom.ua/remote/dispatcher/state_purchase_view/37555502" ref="B590" r:id="rId1180"/>
    <hyperlink display="https://my.zakupki.prom.ua/remote/dispatcher/state_contracting_view/14068374" ref="D590" r:id="rId1181"/>
    <hyperlink display="https://my.zakupki.prom.ua/remote/dispatcher/state_purchase_view/37708172" ref="B591" r:id="rId1182"/>
    <hyperlink display="https://my.zakupki.prom.ua/remote/dispatcher/state_contracting_view/14143989" ref="D591" r:id="rId1183"/>
    <hyperlink display="https://my.zakupki.prom.ua/remote/dispatcher/state_purchase_view/37720727" ref="B592" r:id="rId1184"/>
    <hyperlink display="https://my.zakupki.prom.ua/remote/dispatcher/state_contracting_view/14150405" ref="D592" r:id="rId1185"/>
    <hyperlink display="https://my.zakupki.prom.ua/remote/dispatcher/state_purchase_view/37719964" ref="B593" r:id="rId1186"/>
    <hyperlink display="https://my.zakupki.prom.ua/remote/dispatcher/state_contracting_view/14150175" ref="D593" r:id="rId1187"/>
    <hyperlink display="https://my.zakupki.prom.ua/remote/dispatcher/state_purchase_view/37071595" ref="B594" r:id="rId1188"/>
    <hyperlink display="https://my.zakupki.prom.ua/remote/dispatcher/state_contracting_view/13833788" ref="D594" r:id="rId1189"/>
    <hyperlink display="https://my.zakupki.prom.ua/remote/dispatcher/state_purchase_view/37071997" ref="B595" r:id="rId1190"/>
    <hyperlink display="https://my.zakupki.prom.ua/remote/dispatcher/state_contracting_view/13834000" ref="D595" r:id="rId1191"/>
    <hyperlink display="https://my.zakupki.prom.ua/remote/dispatcher/state_purchase_view/37279536" ref="B596" r:id="rId1192"/>
    <hyperlink display="https://my.zakupki.prom.ua/remote/dispatcher/state_contracting_view/13934364" ref="D596" r:id="rId1193"/>
    <hyperlink display="https://my.zakupki.prom.ua/remote/dispatcher/state_purchase_view/37859376" ref="B597" r:id="rId1194"/>
    <hyperlink display="https://my.zakupki.prom.ua/remote/dispatcher/state_contracting_view/14218225" ref="D597" r:id="rId1195"/>
    <hyperlink display="https://my.zakupki.prom.ua/remote/dispatcher/state_purchase_view/34550316" ref="B598" r:id="rId1196"/>
    <hyperlink display="https://my.zakupki.prom.ua/remote/dispatcher/state_contracting_view/13090328" ref="D598" r:id="rId1197"/>
    <hyperlink display="https://my.zakupki.prom.ua/remote/dispatcher/state_purchase_view/34887996" ref="B599" r:id="rId1198"/>
    <hyperlink display="https://my.zakupki.prom.ua/remote/dispatcher/state_contracting_view/12752397" ref="D599" r:id="rId1199"/>
    <hyperlink display="https://my.zakupki.prom.ua/remote/dispatcher/state_purchase_view/35691669" ref="B600" r:id="rId1200"/>
    <hyperlink display="https://my.zakupki.prom.ua/remote/dispatcher/state_contracting_view/13146250" ref="D600" r:id="rId1201"/>
    <hyperlink display="https://my.zakupki.prom.ua/remote/dispatcher/state_purchase_view/35704737" ref="B601" r:id="rId1202"/>
    <hyperlink display="https://my.zakupki.prom.ua/remote/dispatcher/state_contracting_view/13153831" ref="D601" r:id="rId1203"/>
    <hyperlink display="https://my.zakupki.prom.ua/remote/dispatcher/state_purchase_view/35704970" ref="B602" r:id="rId1204"/>
    <hyperlink display="https://my.zakupki.prom.ua/remote/dispatcher/state_contracting_view/13153772" ref="D602" r:id="rId1205"/>
    <hyperlink display="https://my.zakupki.prom.ua/remote/dispatcher/state_purchase_view/36227013" ref="B603" r:id="rId1206"/>
    <hyperlink display="https://my.zakupki.prom.ua/remote/dispatcher/state_contracting_view/13423346" ref="D603" r:id="rId1207"/>
    <hyperlink display="https://my.zakupki.prom.ua/remote/dispatcher/state_purchase_view/35947767" ref="B604" r:id="rId1208"/>
    <hyperlink display="https://my.zakupki.prom.ua/remote/dispatcher/state_contracting_view/13279585" ref="D604" r:id="rId1209"/>
    <hyperlink display="https://my.zakupki.prom.ua/remote/dispatcher/state_purchase_view/38507006" ref="B605" r:id="rId1210"/>
    <hyperlink display="https://my.zakupki.prom.ua/remote/dispatcher/state_contracting_view/14533745" ref="D605" r:id="rId1211"/>
    <hyperlink display="https://my.zakupki.prom.ua/remote/dispatcher/state_purchase_view/38166362" ref="B606" r:id="rId1212"/>
    <hyperlink display="https://my.zakupki.prom.ua/remote/dispatcher/state_purchase_lot_view/771703" ref="C606" r:id="rId1213"/>
    <hyperlink display="https://my.zakupki.prom.ua/remote/dispatcher/state_contracting_view/14551638" ref="D606" r:id="rId1214"/>
    <hyperlink display="https://my.zakupki.prom.ua/remote/dispatcher/state_purchase_view/38540200" ref="B607" r:id="rId1215"/>
    <hyperlink display="https://my.zakupki.prom.ua/remote/dispatcher/state_contracting_view/14548938" ref="D607" r:id="rId1216"/>
    <hyperlink display="https://my.zakupki.prom.ua/remote/dispatcher/state_purchase_view/39240427" ref="B608" r:id="rId1217"/>
    <hyperlink display="https://my.zakupki.prom.ua/remote/dispatcher/state_contracting_view/14871055" ref="D608" r:id="rId1218"/>
    <hyperlink display="https://my.zakupki.prom.ua/remote/dispatcher/state_purchase_view/39777515" ref="B609" r:id="rId1219"/>
    <hyperlink display="https://my.zakupki.prom.ua/remote/dispatcher/state_contracting_view/15128244" ref="D609" r:id="rId1220"/>
    <hyperlink display="https://my.zakupki.prom.ua/remote/dispatcher/state_purchase_view/39780823" ref="B610" r:id="rId1221"/>
    <hyperlink display="https://my.zakupki.prom.ua/remote/dispatcher/state_contracting_view/15129910" ref="D610" r:id="rId1222"/>
    <hyperlink display="https://my.zakupki.prom.ua/remote/dispatcher/state_purchase_view/36525576" ref="B611" r:id="rId1223"/>
    <hyperlink display="https://my.zakupki.prom.ua/remote/dispatcher/state_contracting_view/13575294" ref="D611" r:id="rId1224"/>
    <hyperlink display="https://my.zakupki.prom.ua/remote/dispatcher/state_purchase_view/36524921" ref="B612" r:id="rId1225"/>
    <hyperlink display="https://my.zakupki.prom.ua/remote/dispatcher/state_contracting_view/13574997" ref="D612" r:id="rId1226"/>
    <hyperlink display="https://my.zakupki.prom.ua/remote/dispatcher/state_purchase_view/38387534" ref="B613" r:id="rId1227"/>
    <hyperlink display="https://my.zakupki.prom.ua/remote/dispatcher/state_contracting_view/14479300" ref="D613" r:id="rId1228"/>
    <hyperlink display="https://my.zakupki.prom.ua/remote/dispatcher/state_purchase_view/38387411" ref="B614" r:id="rId1229"/>
    <hyperlink display="https://my.zakupki.prom.ua/remote/dispatcher/state_contracting_view/14479461" ref="D614" r:id="rId1230"/>
    <hyperlink display="https://my.zakupki.prom.ua/remote/dispatcher/state_purchase_view/38146447" ref="B615" r:id="rId1231"/>
    <hyperlink display="https://my.zakupki.prom.ua/remote/dispatcher/state_purchase_lot_view/771139" ref="C615" r:id="rId1232"/>
    <hyperlink display="https://my.zakupki.prom.ua/remote/dispatcher/state_contracting_view/14554780" ref="D615" r:id="rId1233"/>
    <hyperlink display="https://my.zakupki.prom.ua/remote/dispatcher/state_purchase_view/38591496" ref="B616" r:id="rId1234"/>
    <hyperlink display="https://my.zakupki.prom.ua/remote/dispatcher/state_contracting_view/14573030" ref="D616" r:id="rId1235"/>
    <hyperlink display="https://my.zakupki.prom.ua/remote/dispatcher/state_purchase_view/38610366" ref="B617" r:id="rId1236"/>
    <hyperlink display="https://my.zakupki.prom.ua/remote/dispatcher/state_purchase_lot_view/788630" ref="C617" r:id="rId1237"/>
    <hyperlink display="https://my.zakupki.prom.ua/remote/dispatcher/state_contracting_view/14807386" ref="D617" r:id="rId1238"/>
    <hyperlink display="https://my.zakupki.prom.ua/remote/dispatcher/state_purchase_view/39741938" ref="B618" r:id="rId1239"/>
    <hyperlink display="https://my.zakupki.prom.ua/remote/dispatcher/state_contracting_view/15110690" ref="D618" r:id="rId1240"/>
    <hyperlink display="https://my.zakupki.prom.ua/remote/dispatcher/state_purchase_view/35615560" ref="B619" r:id="rId1241"/>
    <hyperlink display="https://my.zakupki.prom.ua/remote/dispatcher/state_contracting_view/13105481" ref="D619" r:id="rId1242"/>
    <hyperlink display="https://my.zakupki.prom.ua/remote/dispatcher/state_purchase_view/36034032" ref="B620" r:id="rId1243"/>
    <hyperlink display="https://my.zakupki.prom.ua/remote/dispatcher/state_contracting_view/13325181" ref="D620" r:id="rId1244"/>
    <hyperlink display="https://my.zakupki.prom.ua/remote/dispatcher/state_purchase_view/36140320" ref="B621" r:id="rId1245"/>
    <hyperlink display="https://my.zakupki.prom.ua/remote/dispatcher/state_contracting_view/13378745" ref="D621" r:id="rId1246"/>
    <hyperlink display="https://my.zakupki.prom.ua/remote/dispatcher/state_purchase_view/36189582" ref="B622" r:id="rId1247"/>
    <hyperlink display="https://my.zakupki.prom.ua/remote/dispatcher/state_contracting_view/13404316" ref="D622" r:id="rId1248"/>
    <hyperlink display="https://my.zakupki.prom.ua/remote/dispatcher/state_purchase_view/35685848" ref="B623" r:id="rId1249"/>
    <hyperlink display="https://my.zakupki.prom.ua/remote/dispatcher/state_contracting_view/13143191" ref="D623" r:id="rId1250"/>
    <hyperlink display="https://my.zakupki.prom.ua/remote/dispatcher/state_purchase_view/36405363" ref="B624" r:id="rId1251"/>
    <hyperlink display="https://my.zakupki.prom.ua/remote/dispatcher/state_contracting_view/13514599" ref="D624" r:id="rId1252"/>
    <hyperlink display="https://my.zakupki.prom.ua/remote/dispatcher/state_purchase_view/35222595" ref="B625" r:id="rId1253"/>
    <hyperlink display="https://my.zakupki.prom.ua/remote/dispatcher/state_contracting_view/12914291" ref="D625" r:id="rId1254"/>
    <hyperlink display="https://my.zakupki.prom.ua/remote/dispatcher/state_purchase_view/36347173" ref="B626" r:id="rId1255"/>
    <hyperlink display="https://my.zakupki.prom.ua/remote/dispatcher/state_contracting_view/13484882" ref="D626" r:id="rId1256"/>
    <hyperlink display="https://my.zakupki.prom.ua/remote/dispatcher/state_purchase_view/37112390" ref="B627" r:id="rId1257"/>
    <hyperlink display="https://my.zakupki.prom.ua/remote/dispatcher/state_contracting_view/13938138" ref="D627" r:id="rId1258"/>
    <hyperlink display="https://my.zakupki.prom.ua/remote/dispatcher/state_purchase_view/36421932" ref="B628" r:id="rId1259"/>
    <hyperlink display="https://my.zakupki.prom.ua/remote/dispatcher/state_contracting_view/13523259" ref="D628" r:id="rId1260"/>
    <hyperlink display="https://my.zakupki.prom.ua/remote/dispatcher/state_purchase_view/38406435" ref="B629" r:id="rId1261"/>
    <hyperlink display="https://my.zakupki.prom.ua/remote/dispatcher/state_contracting_view/14494924" ref="D629" r:id="rId1262"/>
    <hyperlink display="https://my.zakupki.prom.ua/remote/dispatcher/state_purchase_view/38776842" ref="B630" r:id="rId1263"/>
    <hyperlink display="https://my.zakupki.prom.ua/remote/dispatcher/state_contracting_view/14658763" ref="D630" r:id="rId1264"/>
    <hyperlink display="https://my.zakupki.prom.ua/remote/dispatcher/state_purchase_view/37782563" ref="B631" r:id="rId1265"/>
    <hyperlink display="https://my.zakupki.prom.ua/remote/dispatcher/state_contracting_view/14180900" ref="D631" r:id="rId1266"/>
    <hyperlink display="https://my.zakupki.prom.ua/remote/dispatcher/state_purchase_view/38018391" ref="B632" r:id="rId1267"/>
    <hyperlink display="https://my.zakupki.prom.ua/remote/dispatcher/state_contracting_view/14463445" ref="D632" r:id="rId1268"/>
    <hyperlink display="https://my.zakupki.prom.ua/remote/dispatcher/state_purchase_view/37224446" ref="B633" r:id="rId1269"/>
    <hyperlink display="https://my.zakupki.prom.ua/remote/dispatcher/state_contracting_view/13907353" ref="D633" r:id="rId1270"/>
    <hyperlink display="https://my.zakupki.prom.ua/remote/dispatcher/state_purchase_view/38055247" ref="B634" r:id="rId1271"/>
    <hyperlink display="https://my.zakupki.prom.ua/remote/dispatcher/state_contracting_view/14314090" ref="D634" r:id="rId1272"/>
    <hyperlink display="https://my.zakupki.prom.ua/remote/dispatcher/state_purchase_view/37220837" ref="B635" r:id="rId1273"/>
    <hyperlink display="https://my.zakupki.prom.ua/remote/dispatcher/state_contracting_view/13997245" ref="D635" r:id="rId1274"/>
    <hyperlink display="https://my.zakupki.prom.ua/remote/dispatcher/state_purchase_view/37346826" ref="B636" r:id="rId1275"/>
    <hyperlink display="https://my.zakupki.prom.ua/remote/dispatcher/state_contracting_view/13967183" ref="D636" r:id="rId1276"/>
    <hyperlink display="https://my.zakupki.prom.ua/remote/dispatcher/state_purchase_view/37383215" ref="B637" r:id="rId1277"/>
    <hyperlink display="https://my.zakupki.prom.ua/remote/dispatcher/state_contracting_view/14131165" ref="D637" r:id="rId1278"/>
    <hyperlink display="https://my.zakupki.prom.ua/remote/dispatcher/state_purchase_view/37683478" ref="B638" r:id="rId1279"/>
    <hyperlink display="https://my.zakupki.prom.ua/remote/dispatcher/state_contracting_view/14131620" ref="D638" r:id="rId1280"/>
    <hyperlink display="https://my.zakupki.prom.ua/remote/dispatcher/state_purchase_view/37435840" ref="B639" r:id="rId1281"/>
    <hyperlink display="https://my.zakupki.prom.ua/remote/dispatcher/state_contracting_view/14164404" ref="D639" r:id="rId1282"/>
    <hyperlink display="https://my.zakupki.prom.ua/remote/dispatcher/state_purchase_view/37499863" ref="B640" r:id="rId1283"/>
    <hyperlink display="https://my.zakupki.prom.ua/remote/dispatcher/state_contracting_view/14201906" ref="D640" r:id="rId1284"/>
    <hyperlink display="https://my.zakupki.prom.ua/remote/dispatcher/state_purchase_view/37774046" ref="B641" r:id="rId1285"/>
    <hyperlink display="https://my.zakupki.prom.ua/remote/dispatcher/state_contracting_view/14176632" ref="D641" r:id="rId1286"/>
    <hyperlink display="https://my.zakupki.prom.ua/remote/dispatcher/state_purchase_view/37593387" ref="B642" r:id="rId1287"/>
    <hyperlink display="https://my.zakupki.prom.ua/remote/dispatcher/state_contracting_view/14087125" ref="D642" r:id="rId1288"/>
    <hyperlink display="https://my.zakupki.prom.ua/remote/dispatcher/state_purchase_view/36954984" ref="B643" r:id="rId1289"/>
    <hyperlink display="https://my.zakupki.prom.ua/remote/dispatcher/state_contracting_view/13889360" ref="D643" r:id="rId1290"/>
    <hyperlink display="https://my.zakupki.prom.ua/remote/dispatcher/state_purchase_view/38045889" ref="B644" r:id="rId1291"/>
    <hyperlink display="https://my.zakupki.prom.ua/remote/dispatcher/state_contracting_view/14309409" ref="D644" r:id="rId1292"/>
    <hyperlink display="https://my.zakupki.prom.ua/remote/dispatcher/state_purchase_view/37347249" ref="B645" r:id="rId1293"/>
    <hyperlink display="https://my.zakupki.prom.ua/remote/dispatcher/state_contracting_view/13967429" ref="D645" r:id="rId1294"/>
    <hyperlink display="https://my.zakupki.prom.ua/remote/dispatcher/state_purchase_view/38234405" ref="B646" r:id="rId1295"/>
    <hyperlink display="https://my.zakupki.prom.ua/remote/dispatcher/state_contracting_view/14405492" ref="D646" r:id="rId1296"/>
    <hyperlink display="https://my.zakupki.prom.ua/remote/dispatcher/state_purchase_view/37918353" ref="B647" r:id="rId1297"/>
    <hyperlink display="https://my.zakupki.prom.ua/remote/dispatcher/state_contracting_view/14246924" ref="D647" r:id="rId1298"/>
    <hyperlink display="https://my.zakupki.prom.ua/remote/dispatcher/state_purchase_view/37563853" ref="B648" r:id="rId1299"/>
    <hyperlink display="https://my.zakupki.prom.ua/remote/dispatcher/state_contracting_view/14072397" ref="D648" r:id="rId1300"/>
    <hyperlink display="https://my.zakupki.prom.ua/remote/dispatcher/state_purchase_view/37514701" ref="B649" r:id="rId1301"/>
    <hyperlink display="https://my.zakupki.prom.ua/remote/dispatcher/state_contracting_view/14217155" ref="D649" r:id="rId1302"/>
    <hyperlink display="https://my.zakupki.prom.ua/remote/dispatcher/state_purchase_view/37856608" ref="B650" r:id="rId1303"/>
    <hyperlink display="https://my.zakupki.prom.ua/remote/dispatcher/state_contracting_view/14216992" ref="D650" r:id="rId1304"/>
    <hyperlink display="https://my.zakupki.prom.ua/remote/dispatcher/state_purchase_view/36535912" ref="B651" r:id="rId1305"/>
    <hyperlink display="https://my.zakupki.prom.ua/remote/dispatcher/state_contracting_view/13580201" ref="D651" r:id="rId1306"/>
    <hyperlink display="https://my.zakupki.prom.ua/remote/dispatcher/state_purchase_view/35792685" ref="B652" r:id="rId1307"/>
    <hyperlink display="https://my.zakupki.prom.ua/remote/dispatcher/state_contracting_view/13199685" ref="D652" r:id="rId1308"/>
    <hyperlink display="https://my.zakupki.prom.ua/remote/dispatcher/state_purchase_view/37187603" ref="B653" r:id="rId1309"/>
    <hyperlink display="https://my.zakupki.prom.ua/remote/dispatcher/state_contracting_view/13889516" ref="D653" r:id="rId1310"/>
    <hyperlink display="https://my.zakupki.prom.ua/remote/dispatcher/state_purchase_view/36820027" ref="B654" r:id="rId1311"/>
    <hyperlink display="https://my.zakupki.prom.ua/remote/dispatcher/state_contracting_view/13714457" ref="D654" r:id="rId1312"/>
    <hyperlink display="https://my.zakupki.prom.ua/remote/dispatcher/state_purchase_view/36644789" ref="B655" r:id="rId1313"/>
    <hyperlink display="https://my.zakupki.prom.ua/remote/dispatcher/state_contracting_view/13632664" ref="D655" r:id="rId1314"/>
    <hyperlink display="https://my.zakupki.prom.ua/remote/dispatcher/state_purchase_view/36730808" ref="B656" r:id="rId1315"/>
    <hyperlink display="https://my.zakupki.prom.ua/remote/dispatcher/state_contracting_view/13672400" ref="D656" r:id="rId1316"/>
    <hyperlink display="https://my.zakupki.prom.ua/remote/dispatcher/state_purchase_view/36279274" ref="B657" r:id="rId1317"/>
    <hyperlink display="https://my.zakupki.prom.ua/remote/dispatcher/state_contracting_view/13450260" ref="D657" r:id="rId1318"/>
    <hyperlink display="https://my.zakupki.prom.ua/remote/dispatcher/state_purchase_view/36241327" ref="B658" r:id="rId1319"/>
    <hyperlink display="https://my.zakupki.prom.ua/remote/dispatcher/state_contracting_view/13430977" ref="D658" r:id="rId1320"/>
    <hyperlink display="https://my.zakupki.prom.ua/remote/dispatcher/state_purchase_view/36520212" ref="B659" r:id="rId1321"/>
    <hyperlink display="https://my.zakupki.prom.ua/remote/dispatcher/state_contracting_view/13572258" ref="D659" r:id="rId1322"/>
    <hyperlink display="https://my.zakupki.prom.ua/remote/dispatcher/state_purchase_view/36842202" ref="B660" r:id="rId1323"/>
    <hyperlink display="https://my.zakupki.prom.ua/remote/dispatcher/state_contracting_view/13724596" ref="D660" r:id="rId1324"/>
    <hyperlink display="https://my.zakupki.prom.ua/remote/dispatcher/state_purchase_view/36728463" ref="B661" r:id="rId1325"/>
    <hyperlink display="https://my.zakupki.prom.ua/remote/dispatcher/state_contracting_view/13782772" ref="D661" r:id="rId1326"/>
    <hyperlink display="https://my.zakupki.prom.ua/remote/dispatcher/state_purchase_view/36789620" ref="B662" r:id="rId1327"/>
    <hyperlink display="https://my.zakupki.prom.ua/remote/dispatcher/state_contracting_view/13783369" ref="D662" r:id="rId1328"/>
    <hyperlink display="https://my.zakupki.prom.ua/remote/dispatcher/state_purchase_view/36385493" ref="B663" r:id="rId1329"/>
    <hyperlink display="https://my.zakupki.prom.ua/remote/dispatcher/state_contracting_view/13504775" ref="D663" r:id="rId1330"/>
    <hyperlink display="https://my.zakupki.prom.ua/remote/dispatcher/state_purchase_view/36361789" ref="B664" r:id="rId1331"/>
    <hyperlink display="https://my.zakupki.prom.ua/remote/dispatcher/state_contracting_view/13492523" ref="D664" r:id="rId1332"/>
    <hyperlink display="https://my.zakupki.prom.ua/remote/dispatcher/state_purchase_view/36387679" ref="B665" r:id="rId1333"/>
    <hyperlink display="https://my.zakupki.prom.ua/remote/dispatcher/state_contracting_view/13505836" ref="D665" r:id="rId1334"/>
    <hyperlink display="https://my.zakupki.prom.ua/remote/dispatcher/state_purchase_view/36387939" ref="B666" r:id="rId1335"/>
    <hyperlink display="https://my.zakupki.prom.ua/remote/dispatcher/state_contracting_view/13506084" ref="D666" r:id="rId1336"/>
    <hyperlink display="https://my.zakupki.prom.ua/remote/dispatcher/state_purchase_view/36740160" ref="B667" r:id="rId1337"/>
    <hyperlink display="https://my.zakupki.prom.ua/remote/dispatcher/state_contracting_view/13676989" ref="D667" r:id="rId1338"/>
    <hyperlink display="https://my.zakupki.prom.ua/remote/dispatcher/state_purchase_view/36842050" ref="B668" r:id="rId1339"/>
    <hyperlink display="https://my.zakupki.prom.ua/remote/dispatcher/state_contracting_view/13724487" ref="D668" r:id="rId1340"/>
    <hyperlink display="https://my.zakupki.prom.ua/remote/dispatcher/state_purchase_view/36429281" ref="B669" r:id="rId1341"/>
    <hyperlink display="https://my.zakupki.prom.ua/remote/dispatcher/state_contracting_view/13526994" ref="D669" r:id="rId1342"/>
    <hyperlink display="https://my.zakupki.prom.ua/remote/dispatcher/state_purchase_view/36613118" ref="B670" r:id="rId1343"/>
    <hyperlink display="https://my.zakupki.prom.ua/remote/dispatcher/state_contracting_view/13617902" ref="D670" r:id="rId1344"/>
    <hyperlink display="https://my.zakupki.prom.ua/remote/dispatcher/state_purchase_view/36290108" ref="B671" r:id="rId1345"/>
    <hyperlink display="https://my.zakupki.prom.ua/remote/dispatcher/state_contracting_view/13456249" ref="D671" r:id="rId1346"/>
    <hyperlink display="https://my.zakupki.prom.ua/remote/dispatcher/state_purchase_view/36326410" ref="B672" r:id="rId1347"/>
    <hyperlink display="https://my.zakupki.prom.ua/remote/dispatcher/state_contracting_view/13474548" ref="D672" r:id="rId1348"/>
    <hyperlink display="https://my.zakupki.prom.ua/remote/dispatcher/state_purchase_view/36347911" ref="B673" r:id="rId1349"/>
    <hyperlink display="https://my.zakupki.prom.ua/remote/dispatcher/state_contracting_view/13485333" ref="D673" r:id="rId1350"/>
    <hyperlink display="https://my.zakupki.prom.ua/remote/dispatcher/state_purchase_view/36624129" ref="B674" r:id="rId1351"/>
    <hyperlink display="https://my.zakupki.prom.ua/remote/dispatcher/state_contracting_view/13624051" ref="D674" r:id="rId1352"/>
    <hyperlink display="https://my.zakupki.prom.ua/remote/dispatcher/state_purchase_view/36926459" ref="B675" r:id="rId1353"/>
    <hyperlink display="https://my.zakupki.prom.ua/remote/dispatcher/state_contracting_view/13764663" ref="D675" r:id="rId1354"/>
    <hyperlink display="https://my.zakupki.prom.ua/remote/dispatcher/state_purchase_view/36772015" ref="B676" r:id="rId1355"/>
    <hyperlink display="https://my.zakupki.prom.ua/remote/dispatcher/state_contracting_view/13691583" ref="D676" r:id="rId1356"/>
    <hyperlink display="https://my.zakupki.prom.ua/remote/dispatcher/state_purchase_view/36428975" ref="B677" r:id="rId1357"/>
    <hyperlink display="https://my.zakupki.prom.ua/remote/dispatcher/state_contracting_view/13526721" ref="D677" r:id="rId1358"/>
    <hyperlink display="https://my.zakupki.prom.ua/remote/dispatcher/state_purchase_view/36371151" ref="B678" r:id="rId1359"/>
    <hyperlink display="https://my.zakupki.prom.ua/remote/dispatcher/state_contracting_view/13497150" ref="D678" r:id="rId1360"/>
    <hyperlink display="https://my.zakupki.prom.ua/remote/dispatcher/state_purchase_view/36506826" ref="B679" r:id="rId1361"/>
    <hyperlink display="https://my.zakupki.prom.ua/remote/dispatcher/state_contracting_view/13566201" ref="D679" r:id="rId1362"/>
    <hyperlink display="https://my.zakupki.prom.ua/remote/dispatcher/state_purchase_view/36910906" ref="B680" r:id="rId1363"/>
    <hyperlink display="https://my.zakupki.prom.ua/remote/dispatcher/state_contracting_view/13757373" ref="D680" r:id="rId1364"/>
    <hyperlink display="https://my.zakupki.prom.ua/remote/dispatcher/state_purchase_view/36969413" ref="B681" r:id="rId1365"/>
    <hyperlink display="https://my.zakupki.prom.ua/remote/dispatcher/state_contracting_view/13785150" ref="D681" r:id="rId1366"/>
    <hyperlink display="https://my.zakupki.prom.ua/remote/dispatcher/state_purchase_view/37023431" ref="B682" r:id="rId1367"/>
    <hyperlink display="https://my.zakupki.prom.ua/remote/dispatcher/state_contracting_view/13810476" ref="D682" r:id="rId1368"/>
    <hyperlink display="https://my.zakupki.prom.ua/remote/dispatcher/state_purchase_view/36347610" ref="B683" r:id="rId1369"/>
    <hyperlink display="https://my.zakupki.prom.ua/remote/dispatcher/state_contracting_view/13485095" ref="D683" r:id="rId1370"/>
    <hyperlink display="https://my.zakupki.prom.ua/remote/dispatcher/state_purchase_view/36873330" ref="B684" r:id="rId1371"/>
    <hyperlink display="https://my.zakupki.prom.ua/remote/dispatcher/state_contracting_view/13739596" ref="D684" r:id="rId1372"/>
    <hyperlink display="https://my.zakupki.prom.ua/remote/dispatcher/state_purchase_view/36693701" ref="B685" r:id="rId1373"/>
    <hyperlink display="https://my.zakupki.prom.ua/remote/dispatcher/state_contracting_view/13655364" ref="D685" r:id="rId1374"/>
    <hyperlink display="https://my.zakupki.prom.ua/remote/dispatcher/state_purchase_view/36436459" ref="B686" r:id="rId1375"/>
    <hyperlink display="https://my.zakupki.prom.ua/remote/dispatcher/state_contracting_view/13530480" ref="D686" r:id="rId1376"/>
    <hyperlink display="https://my.zakupki.prom.ua/remote/dispatcher/state_purchase_view/36437240" ref="B687" r:id="rId1377"/>
    <hyperlink display="https://my.zakupki.prom.ua/remote/dispatcher/state_contracting_view/13530699" ref="D687" r:id="rId1378"/>
    <hyperlink display="https://my.zakupki.prom.ua/remote/dispatcher/state_purchase_view/36455037" ref="B688" r:id="rId1379"/>
    <hyperlink display="https://my.zakupki.prom.ua/remote/dispatcher/state_contracting_view/13540150" ref="D688" r:id="rId1380"/>
    <hyperlink display="https://my.zakupki.prom.ua/remote/dispatcher/state_purchase_view/36348171" ref="B689" r:id="rId1381"/>
    <hyperlink display="https://my.zakupki.prom.ua/remote/dispatcher/state_contracting_view/13485453" ref="D689" r:id="rId1382"/>
    <hyperlink display="https://my.zakupki.prom.ua/remote/dispatcher/state_purchase_view/36289902" ref="B690" r:id="rId1383"/>
    <hyperlink display="https://my.zakupki.prom.ua/remote/dispatcher/state_contracting_view/13456015" ref="D690" r:id="rId1384"/>
    <hyperlink display="https://my.zakupki.prom.ua/remote/dispatcher/state_purchase_view/37119821" ref="B691" r:id="rId1385"/>
    <hyperlink display="https://my.zakupki.prom.ua/remote/dispatcher/state_contracting_view/13856587" ref="D691" r:id="rId1386"/>
    <hyperlink display="https://my.zakupki.prom.ua/remote/dispatcher/state_purchase_view/37119985" ref="B692" r:id="rId1387"/>
    <hyperlink display="https://my.zakupki.prom.ua/remote/dispatcher/state_contracting_view/13856502" ref="D692" r:id="rId1388"/>
    <hyperlink display="https://my.zakupki.prom.ua/remote/dispatcher/state_purchase_view/36842294" ref="B693" r:id="rId1389"/>
    <hyperlink display="https://my.zakupki.prom.ua/remote/dispatcher/state_contracting_view/13724624" ref="D693" r:id="rId1390"/>
    <hyperlink display="https://my.zakupki.prom.ua/remote/dispatcher/state_purchase_view/36320143" ref="B694" r:id="rId1391"/>
    <hyperlink display="https://my.zakupki.prom.ua/remote/dispatcher/state_contracting_view/13471323" ref="D694" r:id="rId1392"/>
    <hyperlink display="https://my.zakupki.prom.ua/remote/dispatcher/state_purchase_view/36520349" ref="B695" r:id="rId1393"/>
    <hyperlink display="https://my.zakupki.prom.ua/remote/dispatcher/state_contracting_view/13572340" ref="D695" r:id="rId1394"/>
    <hyperlink display="https://my.zakupki.prom.ua/remote/dispatcher/state_purchase_view/36436938" ref="B696" r:id="rId1395"/>
    <hyperlink display="https://my.zakupki.prom.ua/remote/dispatcher/state_contracting_view/13530598" ref="D696" r:id="rId1396"/>
    <hyperlink display="https://my.zakupki.prom.ua/remote/dispatcher/state_purchase_view/36319724" ref="B697" r:id="rId1397"/>
    <hyperlink display="https://my.zakupki.prom.ua/remote/dispatcher/state_contracting_view/13471169" ref="D697" r:id="rId1398"/>
    <hyperlink display="https://my.zakupki.prom.ua/remote/dispatcher/state_purchase_view/36813114" ref="B698" r:id="rId1399"/>
    <hyperlink display="https://my.zakupki.prom.ua/remote/dispatcher/state_contracting_view/13711218" ref="D698" r:id="rId1400"/>
    <hyperlink display="https://my.zakupki.prom.ua/remote/dispatcher/state_purchase_view/36874608" ref="B699" r:id="rId1401"/>
    <hyperlink display="https://my.zakupki.prom.ua/remote/dispatcher/state_contracting_view/13740340" ref="D699" r:id="rId1402"/>
    <hyperlink display="https://my.zakupki.prom.ua/remote/dispatcher/state_purchase_view/36927277" ref="B700" r:id="rId1403"/>
    <hyperlink display="https://my.zakupki.prom.ua/remote/dispatcher/state_contracting_view/13765300" ref="D700" r:id="rId1404"/>
    <hyperlink display="https://my.zakupki.prom.ua/remote/dispatcher/state_purchase_view/36472985" ref="B701" r:id="rId1405"/>
    <hyperlink display="https://my.zakupki.prom.ua/remote/dispatcher/state_contracting_view/13548958" ref="D701" r:id="rId1406"/>
    <hyperlink display="https://my.zakupki.prom.ua/remote/dispatcher/state_purchase_view/36729240" ref="B702" r:id="rId1407"/>
    <hyperlink display="https://my.zakupki.prom.ua/remote/dispatcher/state_contracting_view/13671796" ref="D702" r:id="rId1408"/>
    <hyperlink display="https://my.zakupki.prom.ua/remote/dispatcher/state_purchase_view/36893960" ref="B703" r:id="rId1409"/>
    <hyperlink display="https://my.zakupki.prom.ua/remote/dispatcher/state_contracting_view/13749397" ref="D703" r:id="rId1410"/>
    <hyperlink display="https://my.zakupki.prom.ua/remote/dispatcher/state_purchase_view/36840633" ref="B704" r:id="rId1411"/>
    <hyperlink display="https://my.zakupki.prom.ua/remote/dispatcher/state_contracting_view/13723998" ref="D704" r:id="rId1412"/>
    <hyperlink display="https://my.zakupki.prom.ua/remote/dispatcher/state_purchase_view/36318836" ref="B705" r:id="rId1413"/>
    <hyperlink display="https://my.zakupki.prom.ua/remote/dispatcher/state_contracting_view/13470673" ref="D705" r:id="rId1414"/>
    <hyperlink display="https://my.zakupki.prom.ua/remote/dispatcher/state_purchase_view/36362435" ref="B706" r:id="rId1415"/>
    <hyperlink display="https://my.zakupki.prom.ua/remote/dispatcher/state_contracting_view/13492869" ref="D706" r:id="rId1416"/>
    <hyperlink display="https://my.zakupki.prom.ua/remote/dispatcher/state_purchase_view/36927062" ref="B707" r:id="rId1417"/>
    <hyperlink display="https://my.zakupki.prom.ua/remote/dispatcher/state_contracting_view/13765020" ref="D707" r:id="rId1418"/>
    <hyperlink display="https://my.zakupki.prom.ua/remote/dispatcher/state_purchase_view/36762299" ref="B708" r:id="rId1419"/>
    <hyperlink display="https://my.zakupki.prom.ua/remote/dispatcher/state_contracting_view/13783005" ref="D708" r:id="rId1420"/>
    <hyperlink display="https://my.zakupki.prom.ua/remote/dispatcher/state_purchase_view/36319204" ref="B709" r:id="rId1421"/>
    <hyperlink display="https://my.zakupki.prom.ua/remote/dispatcher/state_contracting_view/13470913" ref="D709" r:id="rId1422"/>
    <hyperlink display="https://my.zakupki.prom.ua/remote/dispatcher/state_purchase_view/36396922" ref="B710" r:id="rId1423"/>
    <hyperlink display="https://my.zakupki.prom.ua/remote/dispatcher/state_contracting_view/13510395" ref="D710" r:id="rId1424"/>
    <hyperlink display="https://my.zakupki.prom.ua/remote/dispatcher/state_purchase_view/36348076" ref="B711" r:id="rId1425"/>
    <hyperlink display="https://my.zakupki.prom.ua/remote/dispatcher/state_contracting_view/13485257" ref="D711" r:id="rId1426"/>
    <hyperlink display="https://my.zakupki.prom.ua/remote/dispatcher/state_purchase_view/36350133" ref="B712" r:id="rId1427"/>
    <hyperlink display="https://my.zakupki.prom.ua/remote/dispatcher/state_contracting_view/13486689" ref="D712" r:id="rId1428"/>
    <hyperlink display="https://my.zakupki.prom.ua/remote/dispatcher/state_purchase_view/36910628" ref="B713" r:id="rId1429"/>
    <hyperlink display="https://my.zakupki.prom.ua/remote/dispatcher/state_contracting_view/13757341" ref="D713" r:id="rId1430"/>
    <hyperlink display="https://my.zakupki.prom.ua/remote/dispatcher/state_purchase_view/36772251" ref="B714" r:id="rId1431"/>
    <hyperlink display="https://my.zakupki.prom.ua/remote/dispatcher/state_contracting_view/13691784" ref="D714" r:id="rId1432"/>
    <hyperlink display="https://my.zakupki.prom.ua/remote/dispatcher/state_purchase_view/36841913" ref="B715" r:id="rId1433"/>
    <hyperlink display="https://my.zakupki.prom.ua/remote/dispatcher/state_contracting_view/13724478" ref="D715" r:id="rId1434"/>
    <hyperlink display="https://my.zakupki.prom.ua/remote/dispatcher/state_purchase_view/37022365" ref="B716" r:id="rId1435"/>
    <hyperlink display="https://my.zakupki.prom.ua/remote/dispatcher/state_contracting_view/13811996" ref="D716" r:id="rId1436"/>
    <hyperlink display="https://my.zakupki.prom.ua/remote/dispatcher/state_purchase_view/36426071" ref="B717" r:id="rId1437"/>
    <hyperlink display="https://my.zakupki.prom.ua/remote/dispatcher/state_contracting_view/13525250" ref="D717" r:id="rId1438"/>
    <hyperlink display="https://my.zakupki.prom.ua/remote/dispatcher/state_purchase_view/36434080" ref="B718" r:id="rId1439"/>
    <hyperlink display="https://my.zakupki.prom.ua/remote/dispatcher/state_contracting_view/13529216" ref="D718" r:id="rId1440"/>
    <hyperlink display="https://my.zakupki.prom.ua/remote/dispatcher/state_purchase_view/36873852" ref="B719" r:id="rId1441"/>
    <hyperlink display="https://my.zakupki.prom.ua/remote/dispatcher/state_contracting_view/13739752" ref="D719" r:id="rId1442"/>
    <hyperlink display="https://my.zakupki.prom.ua/remote/dispatcher/state_purchase_view/37024118" ref="B720" r:id="rId1443"/>
    <hyperlink display="https://my.zakupki.prom.ua/remote/dispatcher/state_contracting_view/13810856" ref="D720" r:id="rId1444"/>
    <hyperlink display="https://my.zakupki.prom.ua/remote/dispatcher/state_purchase_view/36624055" ref="B721" r:id="rId1445"/>
    <hyperlink display="https://my.zakupki.prom.ua/remote/dispatcher/state_contracting_view/13624107" ref="D721" r:id="rId1446"/>
    <hyperlink display="https://my.zakupki.prom.ua/remote/dispatcher/state_purchase_view/36643715" ref="B722" r:id="rId1447"/>
    <hyperlink display="https://my.zakupki.prom.ua/remote/dispatcher/state_contracting_view/13632264" ref="D722" r:id="rId1448"/>
    <hyperlink display="https://my.zakupki.prom.ua/remote/dispatcher/state_purchase_view/36488489" ref="B723" r:id="rId1449"/>
    <hyperlink display="https://my.zakupki.prom.ua/remote/dispatcher/state_contracting_view/13557065" ref="D723" r:id="rId1450"/>
    <hyperlink display="https://my.zakupki.prom.ua/remote/dispatcher/state_purchase_view/36429684" ref="B724" r:id="rId1451"/>
    <hyperlink display="https://my.zakupki.prom.ua/remote/dispatcher/state_contracting_view/13527151" ref="D724" r:id="rId1452"/>
    <hyperlink display="https://my.zakupki.prom.ua/remote/dispatcher/state_purchase_view/36838284" ref="B725" r:id="rId1453"/>
    <hyperlink display="https://my.zakupki.prom.ua/remote/dispatcher/state_contracting_view/13722985" ref="D725" r:id="rId1454"/>
    <hyperlink display="https://my.zakupki.prom.ua/remote/dispatcher/state_purchase_view/36866333" ref="B726" r:id="rId1455"/>
    <hyperlink display="https://my.zakupki.prom.ua/remote/dispatcher/state_contracting_view/13736193" ref="D726" r:id="rId1456"/>
    <hyperlink display="https://my.zakupki.prom.ua/remote/dispatcher/state_purchase_view/36348181" ref="B727" r:id="rId1457"/>
    <hyperlink display="https://my.zakupki.prom.ua/remote/dispatcher/state_contracting_view/13485357" ref="D727" r:id="rId1458"/>
    <hyperlink display="https://my.zakupki.prom.ua/remote/dispatcher/state_purchase_view/36906523" ref="B728" r:id="rId1459"/>
    <hyperlink display="https://my.zakupki.prom.ua/remote/dispatcher/state_contracting_view/13755286" ref="D728" r:id="rId1460"/>
    <hyperlink display="https://my.zakupki.prom.ua/remote/dispatcher/state_purchase_view/36926774" ref="B729" r:id="rId1461"/>
    <hyperlink display="https://my.zakupki.prom.ua/remote/dispatcher/state_contracting_view/13764863" ref="D729" r:id="rId1462"/>
    <hyperlink display="https://my.zakupki.prom.ua/remote/dispatcher/state_purchase_view/37120517" ref="B730" r:id="rId1463"/>
    <hyperlink display="https://my.zakupki.prom.ua/remote/dispatcher/state_contracting_view/13856754" ref="D730" r:id="rId1464"/>
    <hyperlink display="https://my.zakupki.prom.ua/remote/dispatcher/state_purchase_view/36819810" ref="B731" r:id="rId1465"/>
    <hyperlink display="https://my.zakupki.prom.ua/remote/dispatcher/state_contracting_view/13714380" ref="D731" r:id="rId1466"/>
    <hyperlink display="https://my.zakupki.prom.ua/remote/dispatcher/state_purchase_view/36927619" ref="B732" r:id="rId1467"/>
    <hyperlink display="https://my.zakupki.prom.ua/remote/dispatcher/state_contracting_view/13765340" ref="D732" r:id="rId1468"/>
    <hyperlink display="https://my.zakupki.prom.ua/remote/dispatcher/state_purchase_view/36874270" ref="B733" r:id="rId1469"/>
    <hyperlink display="https://my.zakupki.prom.ua/remote/dispatcher/state_contracting_view/13739972" ref="D733" r:id="rId1470"/>
    <hyperlink display="https://my.zakupki.prom.ua/remote/dispatcher/state_purchase_view/37120283" ref="B734" r:id="rId1471"/>
    <hyperlink display="https://my.zakupki.prom.ua/remote/dispatcher/state_contracting_view/13856687" ref="D734" r:id="rId1472"/>
    <hyperlink display="https://my.zakupki.prom.ua/remote/dispatcher/state_purchase_view/36348600" ref="B735" r:id="rId1473"/>
    <hyperlink display="https://my.zakupki.prom.ua/remote/dispatcher/state_contracting_view/13485693" ref="D735" r:id="rId1474"/>
    <hyperlink display="https://my.zakupki.prom.ua/remote/dispatcher/state_purchase_view/36520061" ref="B736" r:id="rId1475"/>
    <hyperlink display="https://my.zakupki.prom.ua/remote/dispatcher/state_contracting_view/13572163" ref="D736" r:id="rId1476"/>
    <hyperlink display="https://my.zakupki.prom.ua/remote/dispatcher/state_purchase_view/36071318" ref="B737" r:id="rId1477"/>
    <hyperlink display="https://my.zakupki.prom.ua/remote/dispatcher/state_contracting_view/13343936" ref="D737" r:id="rId1478"/>
    <hyperlink display="https://my.zakupki.prom.ua/remote/dispatcher/state_purchase_view/36121231" ref="B738" r:id="rId1479"/>
    <hyperlink display="https://my.zakupki.prom.ua/remote/dispatcher/state_contracting_view/13367022" ref="D738" r:id="rId1480"/>
    <hyperlink display="https://my.zakupki.prom.ua/remote/dispatcher/state_purchase_view/36089745" ref="B739" r:id="rId1481"/>
    <hyperlink display="https://my.zakupki.prom.ua/remote/dispatcher/state_contracting_view/13351132" ref="D739" r:id="rId1482"/>
    <hyperlink display="https://my.zakupki.prom.ua/remote/dispatcher/state_purchase_view/36154992" ref="B740" r:id="rId1483"/>
    <hyperlink display="https://my.zakupki.prom.ua/remote/dispatcher/state_contracting_view/13384381" ref="D740" r:id="rId1484"/>
    <hyperlink display="https://my.zakupki.prom.ua/remote/dispatcher/state_purchase_view/36071115" ref="B741" r:id="rId1485"/>
    <hyperlink display="https://my.zakupki.prom.ua/remote/dispatcher/state_contracting_view/13343938" ref="D741" r:id="rId1486"/>
    <hyperlink display="https://my.zakupki.prom.ua/remote/dispatcher/state_purchase_view/36103805" ref="B742" r:id="rId1487"/>
    <hyperlink display="https://my.zakupki.prom.ua/remote/dispatcher/state_contracting_view/13358067" ref="D742" r:id="rId1488"/>
    <hyperlink display="https://my.zakupki.prom.ua/remote/dispatcher/state_purchase_view/36126960" ref="B743" r:id="rId1489"/>
    <hyperlink display="https://my.zakupki.prom.ua/remote/dispatcher/state_contracting_view/13369940" ref="D743" r:id="rId1490"/>
    <hyperlink display="https://my.zakupki.prom.ua/remote/dispatcher/state_purchase_view/36094182" ref="B744" r:id="rId1491"/>
    <hyperlink display="https://my.zakupki.prom.ua/remote/dispatcher/state_contracting_view/13353387" ref="D744" r:id="rId1492"/>
    <hyperlink display="https://my.zakupki.prom.ua/remote/dispatcher/state_purchase_view/36103794" ref="B745" r:id="rId1493"/>
    <hyperlink display="https://my.zakupki.prom.ua/remote/dispatcher/state_contracting_view/13357996" ref="D745" r:id="rId1494"/>
    <hyperlink display="https://my.zakupki.prom.ua/remote/dispatcher/state_purchase_view/36137991" ref="B746" r:id="rId1495"/>
    <hyperlink display="https://my.zakupki.prom.ua/remote/dispatcher/state_contracting_view/13377032" ref="D746" r:id="rId1496"/>
    <hyperlink display="https://my.zakupki.prom.ua/remote/dispatcher/state_purchase_view/36138123" ref="B747" r:id="rId1497"/>
    <hyperlink display="https://my.zakupki.prom.ua/remote/dispatcher/state_contracting_view/13376877" ref="D747" r:id="rId1498"/>
    <hyperlink display="https://my.zakupki.prom.ua/remote/dispatcher/state_purchase_view/36094253" ref="B748" r:id="rId1499"/>
    <hyperlink display="https://my.zakupki.prom.ua/remote/dispatcher/state_contracting_view/13353493" ref="D748" r:id="rId1500"/>
    <hyperlink display="https://my.zakupki.prom.ua/remote/dispatcher/state_purchase_view/36155205" ref="B749" r:id="rId1501"/>
    <hyperlink display="https://my.zakupki.prom.ua/remote/dispatcher/state_contracting_view/13385081" ref="D749" r:id="rId1502"/>
    <hyperlink display="https://my.zakupki.prom.ua/remote/dispatcher/state_purchase_view/35799559" ref="B750" r:id="rId1503"/>
    <hyperlink display="https://my.zakupki.prom.ua/remote/dispatcher/state_contracting_view/13203403" ref="D750" r:id="rId1504"/>
    <hyperlink display="https://my.zakupki.prom.ua/remote/dispatcher/state_purchase_view/35905197" ref="B751" r:id="rId1505"/>
    <hyperlink display="https://my.zakupki.prom.ua/remote/dispatcher/state_contracting_view/13257646" ref="D751" r:id="rId1506"/>
    <hyperlink display="https://my.zakupki.prom.ua/remote/dispatcher/state_purchase_view/36009219" ref="B752" r:id="rId1507"/>
    <hyperlink display="https://my.zakupki.prom.ua/remote/dispatcher/state_contracting_view/13312296" ref="D752" r:id="rId1508"/>
    <hyperlink display="https://my.zakupki.prom.ua/remote/dispatcher/state_purchase_view/35923090" ref="B753" r:id="rId1509"/>
    <hyperlink display="https://my.zakupki.prom.ua/remote/dispatcher/state_contracting_view/13266857" ref="D753" r:id="rId1510"/>
    <hyperlink display="https://my.zakupki.prom.ua/remote/dispatcher/state_purchase_view/35971907" ref="B754" r:id="rId1511"/>
    <hyperlink display="https://my.zakupki.prom.ua/remote/dispatcher/state_contracting_view/13292522" ref="D754" r:id="rId1512"/>
    <hyperlink display="https://my.zakupki.prom.ua/remote/dispatcher/state_purchase_view/35952526" ref="B755" r:id="rId1513"/>
    <hyperlink display="https://my.zakupki.prom.ua/remote/dispatcher/state_contracting_view/13282622" ref="D755" r:id="rId1514"/>
    <hyperlink display="https://my.zakupki.prom.ua/remote/dispatcher/state_purchase_view/35955537" ref="B756" r:id="rId1515"/>
    <hyperlink display="https://my.zakupki.prom.ua/remote/dispatcher/state_contracting_view/13284897" ref="D756" r:id="rId1516"/>
    <hyperlink display="https://my.zakupki.prom.ua/remote/dispatcher/state_purchase_view/35950375" ref="B757" r:id="rId1517"/>
    <hyperlink display="https://my.zakupki.prom.ua/remote/dispatcher/state_contracting_view/13281268" ref="D757" r:id="rId1518"/>
    <hyperlink display="https://my.zakupki.prom.ua/remote/dispatcher/state_purchase_view/35950756" ref="B758" r:id="rId1519"/>
    <hyperlink display="https://my.zakupki.prom.ua/remote/dispatcher/state_contracting_view/13281303" ref="D758" r:id="rId1520"/>
    <hyperlink display="https://my.zakupki.prom.ua/remote/dispatcher/state_purchase_view/35952461" ref="B759" r:id="rId1521"/>
    <hyperlink display="https://my.zakupki.prom.ua/remote/dispatcher/state_contracting_view/13282448" ref="D759" r:id="rId1522"/>
    <hyperlink display="https://my.zakupki.prom.ua/remote/dispatcher/state_purchase_view/35902447" ref="B760" r:id="rId1523"/>
    <hyperlink display="https://my.zakupki.prom.ua/remote/dispatcher/state_contracting_view/13256378" ref="D760" r:id="rId1524"/>
    <hyperlink display="https://my.zakupki.prom.ua/remote/dispatcher/state_purchase_view/35952399" ref="B761" r:id="rId1525"/>
    <hyperlink display="https://my.zakupki.prom.ua/remote/dispatcher/state_contracting_view/13282391" ref="D761" r:id="rId1526"/>
    <hyperlink display="https://my.zakupki.prom.ua/remote/dispatcher/state_purchase_view/35866711" ref="B762" r:id="rId1527"/>
    <hyperlink display="https://my.zakupki.prom.ua/remote/dispatcher/state_contracting_view/13238433" ref="D762" r:id="rId1528"/>
    <hyperlink display="https://my.zakupki.prom.ua/remote/dispatcher/state_purchase_view/35805293" ref="B763" r:id="rId1529"/>
    <hyperlink display="https://my.zakupki.prom.ua/remote/dispatcher/state_contracting_view/13206401" ref="D763" r:id="rId1530"/>
    <hyperlink display="https://my.zakupki.prom.ua/remote/dispatcher/state_purchase_view/35805124" ref="B764" r:id="rId1531"/>
    <hyperlink display="https://my.zakupki.prom.ua/remote/dispatcher/state_contracting_view/13206229" ref="D764" r:id="rId1532"/>
    <hyperlink display="https://my.zakupki.prom.ua/remote/dispatcher/state_purchase_view/35712568" ref="B765" r:id="rId1533"/>
    <hyperlink display="https://my.zakupki.prom.ua/remote/dispatcher/state_contracting_view/13158892" ref="D765" r:id="rId1534"/>
    <hyperlink display="https://my.zakupki.prom.ua/remote/dispatcher/state_purchase_view/35715424" ref="B766" r:id="rId1535"/>
    <hyperlink display="https://my.zakupki.prom.ua/remote/dispatcher/state_contracting_view/13158979" ref="D766" r:id="rId1536"/>
  </hyperlinks>
  <pageMargins left="0.75" right="0.75" top="1" bottom="1" header="0.5" footer="0.5"/>
</worksheet>
</file>

<file path=docProps/app.xml><?xml version="1.0" encoding="utf-8"?>
<ns0:Properties xmlns:ns0="http://schemas.openxmlformats.org/officeDocument/2006/extended-properties">
  <ns0:Application>Microsoft Excel</ns0:Application>
  <ns0:DocSecurity>0</ns0:DocSecurity>
  <ns0:ScaleCrop>false</ns0:ScaleCrop>
  <ns0:Company/>
  <ns0:LinksUpToDate>false</ns0:LinksUpToDate>
  <ns0:SharedDoc>false</ns0:SharedDoc>
  <ns0:HyperlinksChanged>false</ns0:HyperlinksChanged>
  <ns0:AppVersion>12.0000</ns0:AppVersion>
  <ns0:HeadingPairs>
    <vt:vector xmlns:vt="http://schemas.openxmlformats.org/officeDocument/2006/docPropsVTypes" size="2" baseType="variant">
      <vt:variant>
        <vt:lpstr>Worksheets</vt:lpstr>
      </vt:variant>
      <vt:variant>
        <vt:i4>1</vt:i4>
      </vt:variant>
    </vt:vector>
  </ns0:HeadingPairs>
  <ns0:TitlesOfParts>
    <vt:vector xmlns:vt="http://schemas.openxmlformats.org/officeDocument/2006/docPropsVTypes" size="1" baseType="lpstr">
      <vt:lpstr>Sheet</vt:lpstr>
    </vt:vector>
  </ns0:TitlesOfParts>
</ns0:Properties>
</file>

<file path=docProps/core.xml><?xml version="1.0" encoding="utf-8"?>
<cp:coreProperties xmlns:cp="http://schemas.openxmlformats.org/package/2006/metadata/core-properties">
  <dc:creator xmlns:dc="http://purl.org/dc/elements/1.1/">Unknown</dc:creator>
  <cp:lastModifiedBy>Unknown</cp:lastModifiedBy>
  <dcterms:created xmlns:dcterms="http://purl.org/dc/terms/" xmlns:xsi="http://www.w3.org/2001/XMLSchema-instance" xsi:type="dcterms:W3CDTF">2023-03-23T15:59:52Z</dcterms:created>
  <dcterms:modified xmlns:dcterms="http://purl.org/dc/terms/" xmlns:xsi="http://www.w3.org/2001/XMLSchema-instance" xsi:type="dcterms:W3CDTF">2023-03-23T15:59:52Z</dcterms:modified>
  <dc:title xmlns:dc="http://purl.org/dc/elements/1.1/">Untitled</dc:title>
  <dc:description xmlns:dc="http://purl.org/dc/elements/1.1/"/>
  <dc:subject xmlns:dc="http://purl.org/dc/elements/1.1/"/>
  <cp:keywords/>
  <cp:category/>
</cp:coreProperties>
</file>